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０００" sheetId="1" r:id="rId1"/>
    <sheet name="Sheet1" sheetId="2" r:id="rId2"/>
  </sheets>
  <definedNames>
    <definedName name="_xlnm.Print_Area" localSheetId="0">'１０００'!$A$1:$T$66</definedName>
    <definedName name="Ryoritu">'１０００'!$AC$1:$AD$6</definedName>
    <definedName name="Ryoritu2">'１０００'!$AF$1:$AG$6</definedName>
  </definedNames>
  <calcPr fullCalcOnLoad="1"/>
</workbook>
</file>

<file path=xl/sharedStrings.xml><?xml version="1.0" encoding="utf-8"?>
<sst xmlns="http://schemas.openxmlformats.org/spreadsheetml/2006/main" count="171" uniqueCount="81">
  <si>
    <t>保険料率</t>
  </si>
  <si>
    <t>基準収入</t>
  </si>
  <si>
    <t>万円</t>
  </si>
  <si>
    <t>農家負担掛金</t>
  </si>
  <si>
    <t>国庫負担掛金</t>
  </si>
  <si>
    <t>農家拠出金</t>
  </si>
  <si>
    <t>国庫負担金</t>
  </si>
  <si>
    <t>積立対象金額</t>
  </si>
  <si>
    <t>積立金総額</t>
  </si>
  <si>
    <t>円</t>
  </si>
  <si>
    <t>積立方式
積立幅</t>
  </si>
  <si>
    <t>事務費総額</t>
  </si>
  <si>
    <t>農家負担額</t>
  </si>
  <si>
    <t>国庫負担額</t>
  </si>
  <si>
    <t>合計</t>
  </si>
  <si>
    <t>加入者割金額</t>
  </si>
  <si>
    <t>初年度割金額</t>
  </si>
  <si>
    <t>保険料（掛け捨て）
対象金額</t>
  </si>
  <si>
    <t>積立方式
支払率</t>
  </si>
  <si>
    <t>保険方式
支払率</t>
  </si>
  <si>
    <t>農家負担総額</t>
  </si>
  <si>
    <t>国庫負担総額</t>
  </si>
  <si>
    <t>農家の持分
(25%)</t>
  </si>
  <si>
    <t>国の補助額
(75%)</t>
  </si>
  <si>
    <t>預け金</t>
  </si>
  <si>
    <t>雑収入</t>
  </si>
  <si>
    <t>税務上の扱い</t>
  </si>
  <si>
    <t>税務上の扱い
（受取金）</t>
  </si>
  <si>
    <t>補てん金（保険金）の試算</t>
  </si>
  <si>
    <t>掛け捨て</t>
  </si>
  <si>
    <t>掛け捨てでない</t>
  </si>
  <si>
    <t>その
割合</t>
  </si>
  <si>
    <t>％</t>
  </si>
  <si>
    <t>基準収入金額</t>
  </si>
  <si>
    <t>（支払金）</t>
  </si>
  <si>
    <t>保険方式
補償限度割合</t>
  </si>
  <si>
    <t>補償金額割の
対象金額</t>
  </si>
  <si>
    <t>補てん金を合わせた
収入金額合計</t>
  </si>
  <si>
    <t>農家の掛け捨て相当（掛金）</t>
  </si>
  <si>
    <t>差引き額（国等の補てん相当）</t>
  </si>
  <si>
    <t>収入保険の保険料と保険金の試算</t>
  </si>
  <si>
    <t>保険料総額</t>
  </si>
  <si>
    <t>(100%)</t>
  </si>
  <si>
    <t>(50%)</t>
  </si>
  <si>
    <t>(50%)</t>
  </si>
  <si>
    <t>当年収入金額
(①)</t>
  </si>
  <si>
    <t>保険方式での補てん金額（②）</t>
  </si>
  <si>
    <t>積立部分での補てん金額（③）</t>
  </si>
  <si>
    <t>補てん金の合計
（④＝②＋③）</t>
  </si>
  <si>
    <t>（⑤＝①＋④）</t>
  </si>
  <si>
    <t>積立金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</si>
  <si>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</si>
  <si>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</si>
  <si>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</si>
  <si>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</si>
  <si>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</si>
  <si>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</si>
  <si>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</si>
  <si>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</si>
  <si>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</si>
  <si>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合計金額</t>
  </si>
  <si>
    <t>（④＝①＋②＋③）</t>
  </si>
  <si>
    <t>（①）</t>
  </si>
  <si>
    <t>保険料</t>
  </si>
  <si>
    <t>（②）</t>
  </si>
  <si>
    <t xml:space="preserve">事務費  </t>
  </si>
  <si>
    <t>（③）</t>
  </si>
  <si>
    <t>必要経費（損金）</t>
  </si>
  <si>
    <t>(100%)</t>
  </si>
  <si>
    <t>(25%)</t>
  </si>
  <si>
    <t>(75%)</t>
  </si>
  <si>
    <t>(50%)</t>
  </si>
  <si>
    <t>分割払いの試算</t>
  </si>
  <si>
    <t>農家負担保険料等（掛金、積立金、事務費）の試算</t>
  </si>
  <si>
    <r>
      <t>２年目の農家負担保険料等の試算　</t>
    </r>
    <r>
      <rPr>
        <b/>
        <sz val="16"/>
        <color indexed="10"/>
        <rFont val="ＭＳ Ｐゴシック"/>
        <family val="3"/>
      </rPr>
      <t>（１年目に支払いがなく、基準が変わらなかった場合）</t>
    </r>
  </si>
  <si>
    <t>分割払いの試算（２年目）</t>
  </si>
  <si>
    <t>加入申請に必要な書類等</t>
  </si>
  <si>
    <t>収入減少
割合</t>
  </si>
  <si>
    <t>様</t>
  </si>
  <si>
    <t>　</t>
  </si>
  <si>
    <t>平成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</si>
</sst>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万&quot;&quot;円&quot;"/>
    <numFmt numFmtId="177" formatCode="#&quot;%&quot;"/>
    <numFmt numFmtId="178" formatCode="#,##0&quot;万&quot;&quot;円&quot;"/>
    <numFmt numFmtId="179" formatCode="0.0_ "/>
    <numFmt numFmtId="180" formatCode="[$-411]ggge&quot;年&quot;m&quot;月&quot;d&quot;日&quot;;@"/>
    <numFmt numFmtId="181" formatCode="#\ &quot;回&quot;"/>
    <numFmt numFmtId="182" formatCode="#&quot;回&quot;"/>
    <numFmt numFmtId="183" formatCode="#,##0.0;[Red]\-#,##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Meiryo UI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Meiryo UI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Meiryo UI"/>
      <family val="3"/>
    </font>
    <font>
      <sz val="10"/>
      <name val="ＭＳ Ｐゴシック"/>
      <family val="3"/>
    </font>
    <font>
      <b/>
      <sz val="20"/>
      <name val="HG丸ｺﾞｼｯｸM-PRO"/>
      <family val="3"/>
    </font>
    <font>
      <sz val="18"/>
      <name val="ＭＳ Ｐゴシック"/>
      <family val="3"/>
    </font>
    <font>
      <b/>
      <sz val="11"/>
      <color indexed="8"/>
      <name val="Meiryo UI"/>
      <family val="3"/>
    </font>
    <font>
      <b/>
      <sz val="12"/>
      <name val="Meiryo UI"/>
      <family val="3"/>
    </font>
    <font>
      <b/>
      <sz val="16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Meiryo UI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Meiryo UI"/>
      <family val="3"/>
    </font>
    <font>
      <b/>
      <sz val="12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wrapText="1"/>
    </xf>
    <xf numFmtId="9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 vertical="center"/>
    </xf>
    <xf numFmtId="178" fontId="0" fillId="33" borderId="13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/>
    </xf>
    <xf numFmtId="178" fontId="6" fillId="33" borderId="13" xfId="0" applyNumberFormat="1" applyFont="1" applyFill="1" applyBorder="1" applyAlignment="1">
      <alignment/>
    </xf>
    <xf numFmtId="38" fontId="7" fillId="0" borderId="13" xfId="48" applyFont="1" applyFill="1" applyBorder="1" applyAlignment="1" applyProtection="1">
      <alignment vertical="center"/>
      <protection locked="0"/>
    </xf>
    <xf numFmtId="38" fontId="7" fillId="34" borderId="13" xfId="48" applyFont="1" applyFill="1" applyBorder="1" applyAlignment="1">
      <alignment vertical="center"/>
    </xf>
    <xf numFmtId="38" fontId="6" fillId="33" borderId="13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38" fontId="3" fillId="33" borderId="16" xfId="48" applyFont="1" applyFill="1" applyBorder="1" applyAlignment="1" applyProtection="1">
      <alignment vertical="center"/>
      <protection locked="0"/>
    </xf>
    <xf numFmtId="0" fontId="0" fillId="33" borderId="15" xfId="0" applyFill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178" fontId="0" fillId="33" borderId="18" xfId="0" applyNumberForma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center" vertical="top"/>
    </xf>
    <xf numFmtId="177" fontId="6" fillId="33" borderId="13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 vertical="top"/>
    </xf>
    <xf numFmtId="38" fontId="6" fillId="33" borderId="20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center" wrapText="1"/>
    </xf>
    <xf numFmtId="178" fontId="0" fillId="33" borderId="15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36" borderId="13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35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9" fontId="0" fillId="0" borderId="25" xfId="0" applyNumberFormat="1" applyBorder="1" applyAlignment="1" quotePrefix="1">
      <alignment horizontal="center" vertical="center"/>
    </xf>
    <xf numFmtId="38" fontId="0" fillId="0" borderId="25" xfId="48" applyFont="1" applyBorder="1" applyAlignment="1">
      <alignment vertical="center"/>
    </xf>
    <xf numFmtId="0" fontId="0" fillId="0" borderId="26" xfId="0" applyBorder="1" applyAlignment="1">
      <alignment vertical="center"/>
    </xf>
    <xf numFmtId="9" fontId="0" fillId="0" borderId="27" xfId="0" applyNumberFormat="1" applyBorder="1" applyAlignment="1" quotePrefix="1">
      <alignment vertical="center"/>
    </xf>
    <xf numFmtId="38" fontId="9" fillId="0" borderId="27" xfId="48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9" fontId="0" fillId="0" borderId="30" xfId="0" applyNumberFormat="1" applyBorder="1" applyAlignment="1" quotePrefix="1">
      <alignment horizontal="center" vertical="center"/>
    </xf>
    <xf numFmtId="38" fontId="0" fillId="0" borderId="30" xfId="48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38" fontId="0" fillId="0" borderId="25" xfId="0" applyNumberFormat="1" applyBorder="1" applyAlignment="1">
      <alignment vertical="center"/>
    </xf>
    <xf numFmtId="38" fontId="8" fillId="0" borderId="27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38" fontId="14" fillId="37" borderId="13" xfId="48" applyFont="1" applyFill="1" applyBorder="1" applyAlignment="1">
      <alignment vertical="center"/>
    </xf>
    <xf numFmtId="38" fontId="55" fillId="13" borderId="0" xfId="48" applyFont="1" applyFill="1" applyBorder="1" applyAlignment="1">
      <alignment vertical="center"/>
    </xf>
    <xf numFmtId="0" fontId="55" fillId="13" borderId="11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indent="2"/>
    </xf>
    <xf numFmtId="0" fontId="14" fillId="38" borderId="33" xfId="0" applyFont="1" applyFill="1" applyBorder="1" applyAlignment="1">
      <alignment horizontal="center" vertical="center" wrapText="1"/>
    </xf>
    <xf numFmtId="182" fontId="14" fillId="38" borderId="34" xfId="0" applyNumberFormat="1" applyFont="1" applyFill="1" applyBorder="1" applyAlignment="1">
      <alignment horizontal="center" vertical="center" wrapText="1"/>
    </xf>
    <xf numFmtId="0" fontId="4" fillId="28" borderId="35" xfId="0" applyFont="1" applyFill="1" applyBorder="1" applyAlignment="1">
      <alignment vertical="center"/>
    </xf>
    <xf numFmtId="0" fontId="0" fillId="28" borderId="36" xfId="0" applyFill="1" applyBorder="1" applyAlignment="1">
      <alignment vertical="center"/>
    </xf>
    <xf numFmtId="38" fontId="15" fillId="28" borderId="36" xfId="48" applyFont="1" applyFill="1" applyBorder="1" applyAlignment="1">
      <alignment vertical="center"/>
    </xf>
    <xf numFmtId="0" fontId="2" fillId="28" borderId="37" xfId="0" applyFont="1" applyFill="1" applyBorder="1" applyAlignment="1">
      <alignment vertical="center"/>
    </xf>
    <xf numFmtId="0" fontId="0" fillId="28" borderId="36" xfId="0" applyFont="1" applyFill="1" applyBorder="1" applyAlignment="1">
      <alignment vertical="center"/>
    </xf>
    <xf numFmtId="0" fontId="8" fillId="28" borderId="35" xfId="0" applyFont="1" applyFill="1" applyBorder="1" applyAlignment="1">
      <alignment horizontal="center" vertical="center"/>
    </xf>
    <xf numFmtId="38" fontId="56" fillId="28" borderId="36" xfId="48" applyFont="1" applyFill="1" applyBorder="1" applyAlignment="1">
      <alignment vertical="center"/>
    </xf>
    <xf numFmtId="38" fontId="55" fillId="0" borderId="25" xfId="48" applyFont="1" applyBorder="1" applyAlignment="1">
      <alignment vertical="center"/>
    </xf>
    <xf numFmtId="38" fontId="57" fillId="0" borderId="27" xfId="48" applyFont="1" applyBorder="1" applyAlignment="1">
      <alignment vertical="center"/>
    </xf>
    <xf numFmtId="38" fontId="55" fillId="0" borderId="30" xfId="48" applyFont="1" applyBorder="1" applyAlignment="1">
      <alignment vertical="center"/>
    </xf>
    <xf numFmtId="0" fontId="55" fillId="0" borderId="0" xfId="0" applyFont="1" applyAlignment="1">
      <alignment/>
    </xf>
    <xf numFmtId="182" fontId="14" fillId="39" borderId="34" xfId="0" applyNumberFormat="1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0" fillId="0" borderId="14" xfId="48" applyNumberFormat="1" applyFont="1" applyBorder="1" applyAlignment="1">
      <alignment vertical="center"/>
    </xf>
    <xf numFmtId="0" fontId="0" fillId="28" borderId="13" xfId="0" applyFill="1" applyBorder="1" applyAlignment="1">
      <alignment horizontal="center" wrapText="1"/>
    </xf>
    <xf numFmtId="0" fontId="6" fillId="28" borderId="13" xfId="0" applyFont="1" applyFill="1" applyBorder="1" applyAlignment="1">
      <alignment/>
    </xf>
    <xf numFmtId="38" fontId="6" fillId="28" borderId="13" xfId="48" applyFont="1" applyFill="1" applyBorder="1" applyAlignment="1">
      <alignment/>
    </xf>
    <xf numFmtId="0" fontId="6" fillId="28" borderId="13" xfId="0" applyFont="1" applyFill="1" applyBorder="1" applyAlignment="1">
      <alignment horizontal="center" vertical="center"/>
    </xf>
    <xf numFmtId="0" fontId="0" fillId="40" borderId="13" xfId="0" applyFill="1" applyBorder="1" applyAlignment="1">
      <alignment horizontal="center" wrapText="1"/>
    </xf>
    <xf numFmtId="0" fontId="6" fillId="40" borderId="13" xfId="0" applyFont="1" applyFill="1" applyBorder="1" applyAlignment="1">
      <alignment/>
    </xf>
    <xf numFmtId="38" fontId="6" fillId="40" borderId="13" xfId="48" applyFont="1" applyFill="1" applyBorder="1" applyAlignment="1">
      <alignment/>
    </xf>
    <xf numFmtId="0" fontId="6" fillId="40" borderId="13" xfId="0" applyFont="1" applyFill="1" applyBorder="1" applyAlignment="1">
      <alignment horizontal="center" vertical="center"/>
    </xf>
    <xf numFmtId="38" fontId="7" fillId="39" borderId="13" xfId="48" applyFont="1" applyFill="1" applyBorder="1" applyAlignment="1">
      <alignment vertical="center"/>
    </xf>
    <xf numFmtId="38" fontId="7" fillId="13" borderId="34" xfId="48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177" fontId="10" fillId="28" borderId="13" xfId="0" applyNumberFormat="1" applyFont="1" applyFill="1" applyBorder="1" applyAlignment="1">
      <alignment horizontal="center" vertical="center"/>
    </xf>
    <xf numFmtId="38" fontId="6" fillId="0" borderId="30" xfId="0" applyNumberFormat="1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0" fontId="0" fillId="41" borderId="13" xfId="0" applyFill="1" applyBorder="1" applyAlignment="1">
      <alignment/>
    </xf>
    <xf numFmtId="0" fontId="0" fillId="13" borderId="0" xfId="0" applyFill="1" applyAlignment="1">
      <alignment/>
    </xf>
    <xf numFmtId="0" fontId="4" fillId="13" borderId="35" xfId="0" applyFont="1" applyFill="1" applyBorder="1" applyAlignment="1">
      <alignment vertical="center"/>
    </xf>
    <xf numFmtId="0" fontId="0" fillId="13" borderId="36" xfId="0" applyFill="1" applyBorder="1" applyAlignment="1">
      <alignment vertical="center"/>
    </xf>
    <xf numFmtId="38" fontId="15" fillId="13" borderId="36" xfId="48" applyFont="1" applyFill="1" applyBorder="1" applyAlignment="1">
      <alignment vertical="center"/>
    </xf>
    <xf numFmtId="0" fontId="2" fillId="13" borderId="37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0" fillId="13" borderId="36" xfId="0" applyFont="1" applyFill="1" applyBorder="1" applyAlignment="1">
      <alignment vertical="center"/>
    </xf>
    <xf numFmtId="0" fontId="8" fillId="13" borderId="35" xfId="0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0" fontId="0" fillId="28" borderId="0" xfId="0" applyFill="1" applyAlignment="1">
      <alignment vertical="center"/>
    </xf>
    <xf numFmtId="177" fontId="6" fillId="33" borderId="33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38" fontId="7" fillId="0" borderId="33" xfId="48" applyFont="1" applyFill="1" applyBorder="1" applyAlignment="1" applyProtection="1">
      <alignment vertical="center"/>
      <protection locked="0"/>
    </xf>
    <xf numFmtId="38" fontId="7" fillId="34" borderId="33" xfId="48" applyFont="1" applyFill="1" applyBorder="1" applyAlignment="1">
      <alignment vertical="center"/>
    </xf>
    <xf numFmtId="38" fontId="6" fillId="33" borderId="33" xfId="0" applyNumberFormat="1" applyFont="1" applyFill="1" applyBorder="1" applyAlignment="1">
      <alignment/>
    </xf>
    <xf numFmtId="38" fontId="7" fillId="39" borderId="33" xfId="48" applyFont="1" applyFill="1" applyBorder="1" applyAlignment="1">
      <alignment vertical="center"/>
    </xf>
    <xf numFmtId="38" fontId="6" fillId="40" borderId="33" xfId="48" applyFont="1" applyFill="1" applyBorder="1" applyAlignment="1">
      <alignment/>
    </xf>
    <xf numFmtId="38" fontId="6" fillId="28" borderId="33" xfId="48" applyFont="1" applyFill="1" applyBorder="1" applyAlignment="1">
      <alignment/>
    </xf>
    <xf numFmtId="38" fontId="7" fillId="13" borderId="38" xfId="48" applyFont="1" applyFill="1" applyBorder="1" applyAlignment="1">
      <alignment vertical="center"/>
    </xf>
    <xf numFmtId="38" fontId="6" fillId="33" borderId="39" xfId="0" applyNumberFormat="1" applyFont="1" applyFill="1" applyBorder="1" applyAlignment="1">
      <alignment/>
    </xf>
    <xf numFmtId="177" fontId="6" fillId="33" borderId="33" xfId="0" applyNumberFormat="1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/>
    </xf>
    <xf numFmtId="178" fontId="6" fillId="33" borderId="15" xfId="0" applyNumberFormat="1" applyFont="1" applyFill="1" applyBorder="1" applyAlignment="1">
      <alignment/>
    </xf>
    <xf numFmtId="38" fontId="7" fillId="0" borderId="15" xfId="48" applyFont="1" applyFill="1" applyBorder="1" applyAlignment="1" applyProtection="1">
      <alignment vertical="center"/>
      <protection locked="0"/>
    </xf>
    <xf numFmtId="38" fontId="7" fillId="34" borderId="15" xfId="48" applyFont="1" applyFill="1" applyBorder="1" applyAlignment="1">
      <alignment vertical="center"/>
    </xf>
    <xf numFmtId="38" fontId="6" fillId="33" borderId="15" xfId="0" applyNumberFormat="1" applyFont="1" applyFill="1" applyBorder="1" applyAlignment="1">
      <alignment/>
    </xf>
    <xf numFmtId="38" fontId="7" fillId="39" borderId="15" xfId="48" applyFont="1" applyFill="1" applyBorder="1" applyAlignment="1">
      <alignment vertical="center"/>
    </xf>
    <xf numFmtId="38" fontId="6" fillId="40" borderId="15" xfId="48" applyFont="1" applyFill="1" applyBorder="1" applyAlignment="1">
      <alignment/>
    </xf>
    <xf numFmtId="38" fontId="6" fillId="28" borderId="15" xfId="48" applyFont="1" applyFill="1" applyBorder="1" applyAlignment="1">
      <alignment/>
    </xf>
    <xf numFmtId="38" fontId="7" fillId="13" borderId="21" xfId="48" applyFont="1" applyFill="1" applyBorder="1" applyAlignment="1">
      <alignment vertical="center"/>
    </xf>
    <xf numFmtId="38" fontId="6" fillId="33" borderId="19" xfId="0" applyNumberFormat="1" applyFont="1" applyFill="1" applyBorder="1" applyAlignment="1">
      <alignment/>
    </xf>
    <xf numFmtId="177" fontId="6" fillId="33" borderId="15" xfId="0" applyNumberFormat="1" applyFont="1" applyFill="1" applyBorder="1" applyAlignment="1">
      <alignment horizontal="center"/>
    </xf>
    <xf numFmtId="177" fontId="6" fillId="33" borderId="17" xfId="0" applyNumberFormat="1" applyFont="1" applyFill="1" applyBorder="1" applyAlignment="1">
      <alignment/>
    </xf>
    <xf numFmtId="178" fontId="6" fillId="33" borderId="40" xfId="0" applyNumberFormat="1" applyFont="1" applyFill="1" applyBorder="1" applyAlignment="1">
      <alignment/>
    </xf>
    <xf numFmtId="38" fontId="7" fillId="0" borderId="40" xfId="48" applyFont="1" applyFill="1" applyBorder="1" applyAlignment="1" applyProtection="1">
      <alignment vertical="center"/>
      <protection locked="0"/>
    </xf>
    <xf numFmtId="38" fontId="7" fillId="34" borderId="40" xfId="48" applyFont="1" applyFill="1" applyBorder="1" applyAlignment="1">
      <alignment vertical="center"/>
    </xf>
    <xf numFmtId="38" fontId="6" fillId="33" borderId="40" xfId="0" applyNumberFormat="1" applyFont="1" applyFill="1" applyBorder="1" applyAlignment="1">
      <alignment/>
    </xf>
    <xf numFmtId="38" fontId="7" fillId="39" borderId="40" xfId="48" applyFont="1" applyFill="1" applyBorder="1" applyAlignment="1">
      <alignment vertical="center"/>
    </xf>
    <xf numFmtId="38" fontId="6" fillId="40" borderId="40" xfId="48" applyFont="1" applyFill="1" applyBorder="1" applyAlignment="1">
      <alignment/>
    </xf>
    <xf numFmtId="38" fontId="6" fillId="28" borderId="40" xfId="48" applyFont="1" applyFill="1" applyBorder="1" applyAlignment="1">
      <alignment/>
    </xf>
    <xf numFmtId="38" fontId="7" fillId="13" borderId="41" xfId="48" applyFont="1" applyFill="1" applyBorder="1" applyAlignment="1">
      <alignment vertical="center"/>
    </xf>
    <xf numFmtId="38" fontId="6" fillId="33" borderId="42" xfId="0" applyNumberFormat="1" applyFont="1" applyFill="1" applyBorder="1" applyAlignment="1">
      <alignment/>
    </xf>
    <xf numFmtId="177" fontId="6" fillId="33" borderId="18" xfId="0" applyNumberFormat="1" applyFont="1" applyFill="1" applyBorder="1" applyAlignment="1">
      <alignment horizontal="center"/>
    </xf>
    <xf numFmtId="0" fontId="6" fillId="28" borderId="34" xfId="0" applyFont="1" applyFill="1" applyBorder="1" applyAlignment="1">
      <alignment horizontal="center" vertical="center"/>
    </xf>
    <xf numFmtId="0" fontId="6" fillId="28" borderId="43" xfId="0" applyFont="1" applyFill="1" applyBorder="1" applyAlignment="1">
      <alignment horizontal="center" vertical="center"/>
    </xf>
    <xf numFmtId="0" fontId="6" fillId="28" borderId="16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13" fillId="0" borderId="14" xfId="0" applyFont="1" applyBorder="1" applyAlignment="1">
      <alignment horizontal="right" inden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35" borderId="32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2" fillId="42" borderId="46" xfId="0" applyFont="1" applyFill="1" applyBorder="1" applyAlignment="1">
      <alignment horizontal="center" vertical="center"/>
    </xf>
    <xf numFmtId="0" fontId="2" fillId="42" borderId="47" xfId="0" applyFont="1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180" fontId="5" fillId="0" borderId="0" xfId="0" applyNumberFormat="1" applyFont="1" applyAlignment="1" quotePrefix="1">
      <alignment horizontal="right"/>
    </xf>
    <xf numFmtId="180" fontId="5" fillId="0" borderId="0" xfId="0" applyNumberFormat="1" applyFont="1" applyAlignment="1">
      <alignment horizontal="right"/>
    </xf>
    <xf numFmtId="0" fontId="0" fillId="43" borderId="32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4" fillId="28" borderId="35" xfId="48" applyFont="1" applyFill="1" applyBorder="1" applyAlignment="1">
      <alignment horizontal="right" vertical="center"/>
    </xf>
    <xf numFmtId="38" fontId="4" fillId="28" borderId="36" xfId="48" applyFont="1" applyFill="1" applyBorder="1" applyAlignment="1">
      <alignment horizontal="right" vertical="center"/>
    </xf>
    <xf numFmtId="0" fontId="0" fillId="28" borderId="3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11</xdr:row>
      <xdr:rowOff>66675</xdr:rowOff>
    </xdr:from>
    <xdr:to>
      <xdr:col>9</xdr:col>
      <xdr:colOff>390525</xdr:colOff>
      <xdr:row>13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4924425" y="3067050"/>
          <a:ext cx="2047875" cy="485775"/>
        </a:xfrm>
        <a:prstGeom prst="wedgeRoundRectCallout">
          <a:avLst>
            <a:gd name="adj1" fmla="val 1837"/>
            <a:gd name="adj2" fmla="val -69449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やめた時には戻ってきます。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（一時的に預けているだけ）</a:t>
          </a:r>
        </a:p>
      </xdr:txBody>
    </xdr:sp>
    <xdr:clientData/>
  </xdr:twoCellAnchor>
  <xdr:twoCellAnchor>
    <xdr:from>
      <xdr:col>11</xdr:col>
      <xdr:colOff>476250</xdr:colOff>
      <xdr:row>41</xdr:row>
      <xdr:rowOff>9525</xdr:rowOff>
    </xdr:from>
    <xdr:to>
      <xdr:col>17</xdr:col>
      <xdr:colOff>466725</xdr:colOff>
      <xdr:row>41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7696200" y="11277600"/>
          <a:ext cx="3819525" cy="247650"/>
        </a:xfrm>
        <a:prstGeom prst="wedgeRoundRectCallout">
          <a:avLst>
            <a:gd name="adj1" fmla="val -33680"/>
            <a:gd name="adj2" fmla="val 139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積立部分の補てん金はその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が国のお金です。</a:t>
          </a:r>
        </a:p>
      </xdr:txBody>
    </xdr:sp>
    <xdr:clientData/>
  </xdr:twoCellAnchor>
  <xdr:twoCellAnchor>
    <xdr:from>
      <xdr:col>14</xdr:col>
      <xdr:colOff>190500</xdr:colOff>
      <xdr:row>53</xdr:row>
      <xdr:rowOff>133350</xdr:rowOff>
    </xdr:from>
    <xdr:to>
      <xdr:col>19</xdr:col>
      <xdr:colOff>114300</xdr:colOff>
      <xdr:row>55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9734550" y="14716125"/>
          <a:ext cx="2705100" cy="476250"/>
        </a:xfrm>
        <a:prstGeom prst="wedgeRoundRectCallout">
          <a:avLst>
            <a:gd name="adj1" fmla="val 20148"/>
            <a:gd name="adj2" fmla="val -86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収入保険への加入により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割以上の収入が確保されます。</a:t>
          </a:r>
        </a:p>
      </xdr:txBody>
    </xdr:sp>
    <xdr:clientData/>
  </xdr:twoCellAnchor>
  <xdr:twoCellAnchor>
    <xdr:from>
      <xdr:col>1</xdr:col>
      <xdr:colOff>523875</xdr:colOff>
      <xdr:row>4</xdr:row>
      <xdr:rowOff>142875</xdr:rowOff>
    </xdr:from>
    <xdr:to>
      <xdr:col>4</xdr:col>
      <xdr:colOff>171450</xdr:colOff>
      <xdr:row>5</xdr:row>
      <xdr:rowOff>38100</xdr:rowOff>
    </xdr:to>
    <xdr:sp>
      <xdr:nvSpPr>
        <xdr:cNvPr id="4" name="角丸四角形吹き出し 1"/>
        <xdr:cNvSpPr>
          <a:spLocks/>
        </xdr:cNvSpPr>
      </xdr:nvSpPr>
      <xdr:spPr>
        <a:xfrm>
          <a:off x="1504950" y="1276350"/>
          <a:ext cx="2143125" cy="238125"/>
        </a:xfrm>
        <a:prstGeom prst="wedgeRoundRectCallout">
          <a:avLst>
            <a:gd name="adj1" fmla="val 27518"/>
            <a:gd name="adj2" fmla="val -11499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平均収入金額を入力してください。</a:t>
          </a:r>
        </a:p>
      </xdr:txBody>
    </xdr:sp>
    <xdr:clientData/>
  </xdr:twoCellAnchor>
  <xdr:twoCellAnchor>
    <xdr:from>
      <xdr:col>7</xdr:col>
      <xdr:colOff>38100</xdr:colOff>
      <xdr:row>1</xdr:row>
      <xdr:rowOff>114300</xdr:rowOff>
    </xdr:from>
    <xdr:to>
      <xdr:col>9</xdr:col>
      <xdr:colOff>209550</xdr:colOff>
      <xdr:row>2</xdr:row>
      <xdr:rowOff>57150</xdr:rowOff>
    </xdr:to>
    <xdr:sp>
      <xdr:nvSpPr>
        <xdr:cNvPr id="5" name="角丸四角形吹き出し 9"/>
        <xdr:cNvSpPr>
          <a:spLocks/>
        </xdr:cNvSpPr>
      </xdr:nvSpPr>
      <xdr:spPr>
        <a:xfrm>
          <a:off x="5153025" y="400050"/>
          <a:ext cx="1638300" cy="257175"/>
        </a:xfrm>
        <a:prstGeom prst="wedgeRoundRectCallout">
          <a:avLst>
            <a:gd name="adj1" fmla="val -19324"/>
            <a:gd name="adj2" fmla="val 10881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各割合を選択できます。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3"/>
  <sheetViews>
    <sheetView tabSelected="1" zoomScale="85" zoomScaleNormal="85" zoomScalePageLayoutView="0" workbookViewId="0" topLeftCell="A1">
      <selection activeCell="M5" sqref="M5"/>
    </sheetView>
  </sheetViews>
  <sheetFormatPr defaultColWidth="9.00390625" defaultRowHeight="13.5"/>
  <cols>
    <col min="1" max="1" width="12.875" style="0" customWidth="1"/>
    <col min="2" max="2" width="13.875" style="0" customWidth="1"/>
    <col min="3" max="3" width="5.50390625" style="0" bestFit="1" customWidth="1"/>
    <col min="4" max="4" width="13.375" style="0" customWidth="1"/>
    <col min="5" max="5" width="5.00390625" style="0" customWidth="1"/>
    <col min="6" max="6" width="2.625" style="0" customWidth="1"/>
    <col min="7" max="7" width="13.875" style="0" customWidth="1"/>
    <col min="8" max="8" width="5.875" style="0" bestFit="1" customWidth="1"/>
    <col min="9" max="9" width="13.375" style="0" customWidth="1"/>
    <col min="10" max="10" width="5.875" style="0" bestFit="1" customWidth="1"/>
    <col min="11" max="11" width="2.50390625" style="0" customWidth="1"/>
    <col min="12" max="12" width="13.875" style="0" customWidth="1"/>
    <col min="13" max="13" width="5.625" style="0" customWidth="1"/>
    <col min="14" max="14" width="11.00390625" style="0" customWidth="1"/>
    <col min="15" max="15" width="4.50390625" style="0" customWidth="1"/>
    <col min="16" max="16" width="2.75390625" style="0" customWidth="1"/>
    <col min="17" max="17" width="12.50390625" style="0" customWidth="1"/>
    <col min="18" max="18" width="13.375" style="0" customWidth="1"/>
    <col min="19" max="19" width="3.375" style="0" bestFit="1" customWidth="1"/>
    <col min="20" max="20" width="1.75390625" style="0" customWidth="1"/>
    <col min="21" max="28" width="9.375" style="0" customWidth="1"/>
    <col min="29" max="29" width="3.50390625" style="0" bestFit="1" customWidth="1"/>
    <col min="30" max="30" width="6.50390625" style="0" bestFit="1" customWidth="1"/>
    <col min="31" max="31" width="3.375" style="0" customWidth="1"/>
    <col min="32" max="32" width="3.50390625" style="0" bestFit="1" customWidth="1"/>
    <col min="33" max="33" width="6.50390625" style="0" bestFit="1" customWidth="1"/>
    <col min="34" max="34" width="9.375" style="0" customWidth="1"/>
    <col min="35" max="35" width="4.625" style="0" customWidth="1"/>
    <col min="36" max="36" width="10.50390625" style="0" customWidth="1"/>
    <col min="37" max="37" width="13.25390625" style="0" customWidth="1"/>
    <col min="38" max="38" width="5.25390625" style="0" hidden="1" customWidth="1"/>
    <col min="39" max="39" width="15.625" style="0" customWidth="1"/>
    <col min="40" max="41" width="12.75390625" style="0" customWidth="1"/>
    <col min="42" max="42" width="15.625" style="0" customWidth="1"/>
    <col min="43" max="44" width="12.50390625" style="0" customWidth="1"/>
    <col min="45" max="46" width="15.625" style="0" customWidth="1"/>
    <col min="47" max="47" width="10.625" style="0" customWidth="1"/>
    <col min="48" max="48" width="11.875" style="0" bestFit="1" customWidth="1"/>
    <col min="49" max="57" width="15.125" style="0" customWidth="1"/>
    <col min="58" max="58" width="9.00390625" style="0" customWidth="1"/>
  </cols>
  <sheetData>
    <row r="1" spans="2:33" ht="22.5" customHeight="1">
      <c r="B1" s="163" t="s">
        <v>40</v>
      </c>
      <c r="C1" s="163"/>
      <c r="D1" s="163"/>
      <c r="E1" s="163"/>
      <c r="F1" s="163"/>
      <c r="G1" s="163"/>
      <c r="H1" s="163"/>
      <c r="Q1" s="171" t="s">
        <v>80</v>
      </c>
      <c r="R1" s="172"/>
      <c r="S1" s="172"/>
      <c r="AC1" s="37">
        <v>50</v>
      </c>
      <c r="AD1" s="37">
        <v>0.424</v>
      </c>
      <c r="AF1" s="37">
        <v>50</v>
      </c>
      <c r="AG1" s="37">
        <v>0.402</v>
      </c>
    </row>
    <row r="2" spans="2:33" ht="24.75" customHeight="1">
      <c r="B2" s="163"/>
      <c r="C2" s="163"/>
      <c r="D2" s="163"/>
      <c r="E2" s="163"/>
      <c r="F2" s="163"/>
      <c r="G2" s="163"/>
      <c r="H2" s="163"/>
      <c r="L2" s="151" t="s">
        <v>78</v>
      </c>
      <c r="M2" s="151"/>
      <c r="N2" s="151"/>
      <c r="O2" s="151"/>
      <c r="P2" s="151"/>
      <c r="Q2" t="s">
        <v>79</v>
      </c>
      <c r="AC2" s="37">
        <v>60</v>
      </c>
      <c r="AD2" s="37">
        <v>0.67</v>
      </c>
      <c r="AF2" s="37">
        <v>60</v>
      </c>
      <c r="AG2" s="37">
        <v>0.636</v>
      </c>
    </row>
    <row r="3" spans="29:33" ht="14.25" thickBot="1">
      <c r="AC3" s="37">
        <v>70</v>
      </c>
      <c r="AD3" s="37">
        <v>1.173</v>
      </c>
      <c r="AF3" s="37">
        <v>70</v>
      </c>
      <c r="AG3" s="37">
        <v>1.113</v>
      </c>
    </row>
    <row r="4" spans="2:33" ht="27.75" thickBot="1">
      <c r="B4" s="176" t="s">
        <v>33</v>
      </c>
      <c r="C4" s="177">
        <v>1000</v>
      </c>
      <c r="D4" s="178"/>
      <c r="E4" s="179" t="s">
        <v>2</v>
      </c>
      <c r="G4" s="7" t="s">
        <v>35</v>
      </c>
      <c r="H4" s="95">
        <v>80</v>
      </c>
      <c r="I4" s="7" t="s">
        <v>19</v>
      </c>
      <c r="J4" s="95">
        <v>90</v>
      </c>
      <c r="P4" s="1"/>
      <c r="Q4" s="1"/>
      <c r="AC4" s="37">
        <v>75</v>
      </c>
      <c r="AD4" s="37">
        <v>1.583</v>
      </c>
      <c r="AF4" s="37">
        <v>75</v>
      </c>
      <c r="AG4" s="37">
        <v>1.502</v>
      </c>
    </row>
    <row r="5" spans="7:33" ht="27">
      <c r="G5" s="7" t="s">
        <v>10</v>
      </c>
      <c r="H5" s="95">
        <v>10</v>
      </c>
      <c r="I5" s="7" t="s">
        <v>18</v>
      </c>
      <c r="J5" s="95">
        <v>90</v>
      </c>
      <c r="AC5" s="37">
        <v>78</v>
      </c>
      <c r="AD5" s="37">
        <v>1.906</v>
      </c>
      <c r="AF5" s="37">
        <v>78</v>
      </c>
      <c r="AG5" s="37">
        <v>1.808</v>
      </c>
    </row>
    <row r="6" spans="7:33" ht="13.5">
      <c r="G6" s="16"/>
      <c r="H6" s="17"/>
      <c r="I6" s="16"/>
      <c r="J6" s="17"/>
      <c r="AC6" s="37">
        <v>80</v>
      </c>
      <c r="AD6" s="37">
        <v>2.159</v>
      </c>
      <c r="AF6" s="37">
        <v>80</v>
      </c>
      <c r="AG6" s="37">
        <v>2.048</v>
      </c>
    </row>
    <row r="7" spans="2:33" ht="23.25" customHeight="1">
      <c r="B7" s="14" t="s">
        <v>73</v>
      </c>
      <c r="G7" s="16"/>
      <c r="H7" s="17"/>
      <c r="I7" s="16"/>
      <c r="J7" s="17"/>
      <c r="AG7" s="80"/>
    </row>
    <row r="8" ht="14.25" thickBot="1"/>
    <row r="9" spans="1:20" ht="33" customHeight="1" thickBot="1">
      <c r="A9" s="99"/>
      <c r="B9" s="100" t="s">
        <v>63</v>
      </c>
      <c r="C9" s="101"/>
      <c r="D9" s="102">
        <f>D17</f>
        <v>77724</v>
      </c>
      <c r="E9" s="103" t="s">
        <v>9</v>
      </c>
      <c r="F9" s="104"/>
      <c r="G9" s="100" t="s">
        <v>50</v>
      </c>
      <c r="H9" s="105"/>
      <c r="I9" s="102">
        <f>I17</f>
        <v>225000</v>
      </c>
      <c r="J9" s="103" t="s">
        <v>9</v>
      </c>
      <c r="K9" s="104"/>
      <c r="L9" s="100" t="s">
        <v>65</v>
      </c>
      <c r="M9" s="105"/>
      <c r="N9" s="102">
        <f>N17</f>
        <v>22320</v>
      </c>
      <c r="O9" s="103" t="s">
        <v>9</v>
      </c>
      <c r="P9" s="104"/>
      <c r="Q9" s="106" t="s">
        <v>60</v>
      </c>
      <c r="R9" s="102">
        <f>R17</f>
        <v>325044</v>
      </c>
      <c r="S9" s="103" t="s">
        <v>9</v>
      </c>
      <c r="T9" s="99"/>
    </row>
    <row r="10" spans="2:19" ht="18" customHeight="1">
      <c r="B10" s="48" t="s">
        <v>62</v>
      </c>
      <c r="C10" s="169" t="s">
        <v>29</v>
      </c>
      <c r="D10" s="169"/>
      <c r="E10" s="170"/>
      <c r="F10" s="2"/>
      <c r="G10" s="48" t="s">
        <v>64</v>
      </c>
      <c r="H10" s="167" t="s">
        <v>30</v>
      </c>
      <c r="I10" s="167"/>
      <c r="J10" s="168"/>
      <c r="K10" s="2"/>
      <c r="L10" s="48" t="s">
        <v>66</v>
      </c>
      <c r="M10" s="169" t="s">
        <v>29</v>
      </c>
      <c r="N10" s="169"/>
      <c r="O10" s="170"/>
      <c r="P10" s="2"/>
      <c r="Q10" s="46" t="s">
        <v>61</v>
      </c>
      <c r="R10" s="44"/>
      <c r="S10" s="45"/>
    </row>
    <row r="11" spans="1:19" ht="18" customHeight="1">
      <c r="A11" s="47" t="s">
        <v>26</v>
      </c>
      <c r="B11" s="164" t="s">
        <v>67</v>
      </c>
      <c r="C11" s="165"/>
      <c r="D11" s="165"/>
      <c r="E11" s="166"/>
      <c r="F11" s="2"/>
      <c r="G11" s="173" t="s">
        <v>24</v>
      </c>
      <c r="H11" s="174"/>
      <c r="I11" s="174"/>
      <c r="J11" s="175"/>
      <c r="K11" s="2"/>
      <c r="L11" s="164" t="s">
        <v>67</v>
      </c>
      <c r="M11" s="165"/>
      <c r="N11" s="165"/>
      <c r="O11" s="166"/>
      <c r="P11" s="2"/>
      <c r="Q11" s="43"/>
      <c r="R11" s="44"/>
      <c r="S11" s="45"/>
    </row>
    <row r="12" spans="1:19" ht="18" customHeight="1">
      <c r="A12" s="30" t="s">
        <v>34</v>
      </c>
      <c r="B12" s="154" t="s">
        <v>0</v>
      </c>
      <c r="C12" s="155"/>
      <c r="D12" s="4">
        <f>VLOOKUP(H4,Ryoritu,2)</f>
        <v>2.159</v>
      </c>
      <c r="E12" s="5" t="s">
        <v>32</v>
      </c>
      <c r="F12" s="2"/>
      <c r="G12" s="6"/>
      <c r="H12" s="4"/>
      <c r="I12" s="4"/>
      <c r="J12" s="5"/>
      <c r="K12" s="2"/>
      <c r="L12" s="154" t="s">
        <v>15</v>
      </c>
      <c r="M12" s="155"/>
      <c r="N12" s="29">
        <v>3200</v>
      </c>
      <c r="O12" s="5" t="s">
        <v>9</v>
      </c>
      <c r="P12" s="2"/>
      <c r="Q12" s="6"/>
      <c r="R12" s="4"/>
      <c r="S12" s="5"/>
    </row>
    <row r="13" spans="2:19" ht="18" customHeight="1">
      <c r="B13" s="6"/>
      <c r="C13" s="4"/>
      <c r="D13" s="4"/>
      <c r="E13" s="5"/>
      <c r="F13" s="2"/>
      <c r="G13" s="6"/>
      <c r="H13" s="4"/>
      <c r="I13" s="4"/>
      <c r="J13" s="5"/>
      <c r="K13" s="2"/>
      <c r="L13" s="154" t="s">
        <v>16</v>
      </c>
      <c r="M13" s="155"/>
      <c r="N13" s="29">
        <v>1300</v>
      </c>
      <c r="O13" s="5" t="s">
        <v>9</v>
      </c>
      <c r="P13" s="2"/>
      <c r="Q13" s="6"/>
      <c r="R13" s="4"/>
      <c r="S13" s="5"/>
    </row>
    <row r="14" spans="2:19" ht="32.25" customHeight="1">
      <c r="B14" s="152" t="s">
        <v>17</v>
      </c>
      <c r="C14" s="153"/>
      <c r="D14" s="94">
        <f>C4*H4*J4/10000</f>
        <v>720</v>
      </c>
      <c r="E14" s="3" t="s">
        <v>2</v>
      </c>
      <c r="F14" s="2"/>
      <c r="G14" s="156" t="s">
        <v>7</v>
      </c>
      <c r="H14" s="157"/>
      <c r="I14" s="94">
        <f>C4*H5*J5/10000</f>
        <v>90</v>
      </c>
      <c r="J14" s="3" t="s">
        <v>2</v>
      </c>
      <c r="K14" s="2"/>
      <c r="L14" s="152" t="s">
        <v>36</v>
      </c>
      <c r="M14" s="153"/>
      <c r="N14" s="94">
        <f>C4*H4*J4*0.0001+C4*H5*J5*0.0001</f>
        <v>810</v>
      </c>
      <c r="O14" s="3" t="s">
        <v>2</v>
      </c>
      <c r="P14" s="2"/>
      <c r="Q14" s="36"/>
      <c r="R14" s="10"/>
      <c r="S14" s="3"/>
    </row>
    <row r="15" ht="3.75" customHeight="1"/>
    <row r="16" spans="2:19" ht="26.25" customHeight="1">
      <c r="B16" s="49" t="s">
        <v>41</v>
      </c>
      <c r="C16" s="50" t="s">
        <v>42</v>
      </c>
      <c r="D16" s="51">
        <f>ROUND(D14*D12*100,0)</f>
        <v>155448</v>
      </c>
      <c r="E16" s="52" t="s">
        <v>9</v>
      </c>
      <c r="F16" s="2"/>
      <c r="G16" s="49" t="s">
        <v>8</v>
      </c>
      <c r="H16" s="50" t="s">
        <v>68</v>
      </c>
      <c r="I16" s="51">
        <f>I14*10000</f>
        <v>900000</v>
      </c>
      <c r="J16" s="52" t="s">
        <v>9</v>
      </c>
      <c r="K16" s="2"/>
      <c r="L16" s="49" t="s">
        <v>11</v>
      </c>
      <c r="M16" s="50" t="s">
        <v>68</v>
      </c>
      <c r="N16" s="51">
        <f>SUM(N17:N18)</f>
        <v>44640</v>
      </c>
      <c r="O16" s="52" t="s">
        <v>9</v>
      </c>
      <c r="P16" s="2"/>
      <c r="Q16" s="49" t="s">
        <v>14</v>
      </c>
      <c r="R16" s="61">
        <f>D16+I16+N16</f>
        <v>1100088</v>
      </c>
      <c r="S16" s="52" t="s">
        <v>9</v>
      </c>
    </row>
    <row r="17" spans="2:19" ht="26.25" customHeight="1">
      <c r="B17" s="60" t="s">
        <v>3</v>
      </c>
      <c r="C17" s="53" t="s">
        <v>43</v>
      </c>
      <c r="D17" s="54">
        <f>ROUNDUP(D16*0.5,0)</f>
        <v>77724</v>
      </c>
      <c r="E17" s="55" t="s">
        <v>9</v>
      </c>
      <c r="F17" s="2"/>
      <c r="G17" s="60" t="s">
        <v>5</v>
      </c>
      <c r="H17" s="53" t="s">
        <v>69</v>
      </c>
      <c r="I17" s="54">
        <f>I16*0.25</f>
        <v>225000</v>
      </c>
      <c r="J17" s="55" t="s">
        <v>9</v>
      </c>
      <c r="K17" s="2"/>
      <c r="L17" s="60" t="s">
        <v>12</v>
      </c>
      <c r="M17" s="53" t="s">
        <v>71</v>
      </c>
      <c r="N17" s="54">
        <f>N12+N13+N14*22</f>
        <v>22320</v>
      </c>
      <c r="O17" s="55" t="s">
        <v>9</v>
      </c>
      <c r="P17" s="2"/>
      <c r="Q17" s="60" t="s">
        <v>20</v>
      </c>
      <c r="R17" s="62">
        <f>D17+I17+N17</f>
        <v>325044</v>
      </c>
      <c r="S17" s="55" t="s">
        <v>9</v>
      </c>
    </row>
    <row r="18" spans="2:19" ht="26.25" customHeight="1">
      <c r="B18" s="56" t="s">
        <v>4</v>
      </c>
      <c r="C18" s="57" t="s">
        <v>44</v>
      </c>
      <c r="D18" s="97">
        <f>D16-D17</f>
        <v>77724</v>
      </c>
      <c r="E18" s="59" t="s">
        <v>9</v>
      </c>
      <c r="F18" s="2"/>
      <c r="G18" s="56" t="s">
        <v>6</v>
      </c>
      <c r="H18" s="57" t="s">
        <v>70</v>
      </c>
      <c r="I18" s="97">
        <f>I16-I17</f>
        <v>675000</v>
      </c>
      <c r="J18" s="59" t="s">
        <v>9</v>
      </c>
      <c r="K18" s="2"/>
      <c r="L18" s="56" t="s">
        <v>13</v>
      </c>
      <c r="M18" s="57" t="s">
        <v>71</v>
      </c>
      <c r="N18" s="97">
        <f>N17</f>
        <v>22320</v>
      </c>
      <c r="O18" s="59" t="s">
        <v>9</v>
      </c>
      <c r="P18" s="2"/>
      <c r="Q18" s="56" t="s">
        <v>21</v>
      </c>
      <c r="R18" s="96">
        <f>D18+I18+N18</f>
        <v>775044</v>
      </c>
      <c r="S18" s="59" t="s">
        <v>9</v>
      </c>
    </row>
    <row r="19" spans="2:19" ht="8.25" customHeight="1">
      <c r="B19" s="4"/>
      <c r="C19" s="8"/>
      <c r="D19" s="29"/>
      <c r="E19" s="4"/>
      <c r="F19" s="2"/>
      <c r="G19" s="4"/>
      <c r="H19" s="8"/>
      <c r="I19" s="29"/>
      <c r="J19" s="4"/>
      <c r="K19" s="2"/>
      <c r="L19" s="4"/>
      <c r="M19" s="8"/>
      <c r="N19" s="9"/>
      <c r="O19" s="4"/>
      <c r="P19" s="2"/>
      <c r="Q19" s="4"/>
      <c r="R19" s="9"/>
      <c r="S19" s="4"/>
    </row>
    <row r="20" spans="2:19" ht="23.25" customHeight="1">
      <c r="B20" s="63" t="s">
        <v>72</v>
      </c>
      <c r="C20" s="8"/>
      <c r="D20" s="29"/>
      <c r="E20" s="4"/>
      <c r="F20" s="2"/>
      <c r="G20" s="4"/>
      <c r="H20" s="8"/>
      <c r="I20" s="29"/>
      <c r="J20" s="4"/>
      <c r="K20" s="2"/>
      <c r="L20" s="4"/>
      <c r="M20" s="8"/>
      <c r="N20" s="9"/>
      <c r="O20" s="4"/>
      <c r="P20" s="2"/>
      <c r="Q20" s="4"/>
      <c r="R20" s="9"/>
      <c r="S20" s="4"/>
    </row>
    <row r="21" spans="2:19" ht="14.25" customHeight="1">
      <c r="B21" s="4"/>
      <c r="C21" s="8"/>
      <c r="D21" s="29"/>
      <c r="E21" s="4"/>
      <c r="F21" s="2"/>
      <c r="G21" s="4"/>
      <c r="H21" s="8"/>
      <c r="I21" s="29"/>
      <c r="J21" s="4"/>
      <c r="K21" s="2"/>
      <c r="L21" s="4"/>
      <c r="M21" s="8"/>
      <c r="N21" s="9"/>
      <c r="O21" s="4"/>
      <c r="P21" s="2"/>
      <c r="Q21" s="4"/>
      <c r="R21" s="9"/>
      <c r="S21" s="4"/>
    </row>
    <row r="22" spans="2:19" ht="23.25" customHeight="1">
      <c r="B22" s="4"/>
      <c r="C22" s="8"/>
      <c r="D22" s="29"/>
      <c r="E22" s="4"/>
      <c r="F22" s="2"/>
      <c r="G22" s="4"/>
      <c r="H22" s="8"/>
      <c r="I22" s="29"/>
      <c r="J22" s="4"/>
      <c r="K22" s="2"/>
      <c r="L22" s="4"/>
      <c r="M22" s="8"/>
      <c r="N22" s="9"/>
      <c r="O22" s="4"/>
      <c r="P22" s="2"/>
      <c r="Q22" s="4"/>
      <c r="R22" s="9"/>
      <c r="S22" s="4"/>
    </row>
    <row r="23" spans="2:19" ht="23.25" customHeight="1">
      <c r="B23" s="4"/>
      <c r="C23" s="8"/>
      <c r="D23" s="29"/>
      <c r="E23" s="4"/>
      <c r="F23" s="2"/>
      <c r="G23" s="4"/>
      <c r="H23" s="8"/>
      <c r="I23" s="29"/>
      <c r="J23" s="4"/>
      <c r="K23" s="2"/>
      <c r="L23" s="4"/>
      <c r="M23" s="8"/>
      <c r="N23" s="9"/>
      <c r="O23" s="4"/>
      <c r="P23" s="2"/>
      <c r="Q23" s="4"/>
      <c r="R23" s="9"/>
      <c r="S23" s="4"/>
    </row>
    <row r="24" spans="2:19" ht="23.25" customHeight="1">
      <c r="B24" s="4"/>
      <c r="C24" s="8"/>
      <c r="D24" s="29"/>
      <c r="E24" s="4"/>
      <c r="F24" s="2"/>
      <c r="G24" s="4"/>
      <c r="H24" s="8"/>
      <c r="I24" s="29"/>
      <c r="J24" s="4"/>
      <c r="K24" s="2"/>
      <c r="L24" s="4"/>
      <c r="M24" s="8"/>
      <c r="N24" s="9"/>
      <c r="O24" s="4"/>
      <c r="P24" s="2"/>
      <c r="Q24" s="4"/>
      <c r="R24" s="9"/>
      <c r="S24" s="4"/>
    </row>
    <row r="25" spans="2:19" ht="42.75" customHeight="1">
      <c r="B25" s="4"/>
      <c r="C25" s="8"/>
      <c r="D25" s="29"/>
      <c r="E25" s="4"/>
      <c r="F25" s="2"/>
      <c r="G25" s="4"/>
      <c r="H25" s="8"/>
      <c r="I25" s="29"/>
      <c r="J25" s="4"/>
      <c r="K25" s="2"/>
      <c r="L25" s="4"/>
      <c r="M25" s="8"/>
      <c r="N25" s="9"/>
      <c r="O25" s="4"/>
      <c r="P25" s="2"/>
      <c r="Q25" s="4"/>
      <c r="R25" s="9"/>
      <c r="S25" s="4"/>
    </row>
    <row r="26" spans="2:19" ht="33" customHeight="1" thickBot="1">
      <c r="B26" s="14" t="s">
        <v>74</v>
      </c>
      <c r="C26" s="8"/>
      <c r="D26" s="29"/>
      <c r="E26" s="4"/>
      <c r="F26" s="2"/>
      <c r="G26" s="4"/>
      <c r="H26" s="8"/>
      <c r="I26" s="29"/>
      <c r="J26" s="4"/>
      <c r="K26" s="2"/>
      <c r="L26" s="4"/>
      <c r="M26" s="8"/>
      <c r="N26" s="9"/>
      <c r="O26" s="4"/>
      <c r="P26" s="2"/>
      <c r="Q26" s="4"/>
      <c r="R26" s="9"/>
      <c r="S26" s="4"/>
    </row>
    <row r="27" spans="1:20" ht="33" customHeight="1" thickBot="1">
      <c r="A27" s="107"/>
      <c r="B27" s="70" t="s">
        <v>63</v>
      </c>
      <c r="C27" s="71"/>
      <c r="D27" s="72">
        <f>D33</f>
        <v>73728</v>
      </c>
      <c r="E27" s="73" t="s">
        <v>9</v>
      </c>
      <c r="F27" s="108"/>
      <c r="G27" s="70" t="s">
        <v>50</v>
      </c>
      <c r="H27" s="74"/>
      <c r="I27" s="76">
        <f>I33</f>
        <v>0</v>
      </c>
      <c r="J27" s="73" t="s">
        <v>9</v>
      </c>
      <c r="K27" s="108"/>
      <c r="L27" s="70" t="s">
        <v>65</v>
      </c>
      <c r="M27" s="74"/>
      <c r="N27" s="72">
        <f>N33</f>
        <v>21020</v>
      </c>
      <c r="O27" s="73" t="s">
        <v>9</v>
      </c>
      <c r="P27" s="108"/>
      <c r="Q27" s="75" t="s">
        <v>60</v>
      </c>
      <c r="R27" s="72">
        <f>R33</f>
        <v>94748</v>
      </c>
      <c r="S27" s="73" t="s">
        <v>9</v>
      </c>
      <c r="T27" s="107"/>
    </row>
    <row r="28" spans="2:19" ht="13.5">
      <c r="B28" s="147" t="s">
        <v>0</v>
      </c>
      <c r="C28" s="148"/>
      <c r="D28" s="4">
        <f>VLOOKUP(H4,Ryoritu2,2)</f>
        <v>2.048</v>
      </c>
      <c r="E28" s="5" t="s">
        <v>32</v>
      </c>
      <c r="F28" s="2"/>
      <c r="G28" s="6"/>
      <c r="H28" s="4"/>
      <c r="I28" s="4"/>
      <c r="J28" s="5"/>
      <c r="K28" s="2"/>
      <c r="L28" s="147" t="s">
        <v>15</v>
      </c>
      <c r="M28" s="148"/>
      <c r="N28" s="29">
        <v>3200</v>
      </c>
      <c r="O28" s="5" t="s">
        <v>9</v>
      </c>
      <c r="P28" s="2"/>
      <c r="Q28" s="6"/>
      <c r="R28" s="4"/>
      <c r="S28" s="5"/>
    </row>
    <row r="29" spans="2:19" ht="13.5">
      <c r="B29" s="6"/>
      <c r="C29" s="4"/>
      <c r="D29" s="4"/>
      <c r="E29" s="5"/>
      <c r="F29" s="2"/>
      <c r="G29" s="6"/>
      <c r="H29" s="4"/>
      <c r="I29" s="4"/>
      <c r="J29" s="5"/>
      <c r="K29" s="2"/>
      <c r="L29" s="149" t="s">
        <v>16</v>
      </c>
      <c r="M29" s="150"/>
      <c r="N29" s="65">
        <v>0</v>
      </c>
      <c r="O29" s="66" t="s">
        <v>9</v>
      </c>
      <c r="P29" s="2"/>
      <c r="Q29" s="6"/>
      <c r="R29" s="4"/>
      <c r="S29" s="5"/>
    </row>
    <row r="30" spans="2:19" ht="29.25" customHeight="1">
      <c r="B30" s="152" t="s">
        <v>17</v>
      </c>
      <c r="C30" s="153"/>
      <c r="D30" s="10">
        <f>C4*0.8*0.9</f>
        <v>720</v>
      </c>
      <c r="E30" s="3" t="s">
        <v>2</v>
      </c>
      <c r="F30" s="2"/>
      <c r="G30" s="156" t="s">
        <v>7</v>
      </c>
      <c r="H30" s="157"/>
      <c r="I30" s="83">
        <f>C4*0.1*0.9</f>
        <v>90</v>
      </c>
      <c r="J30" s="3" t="s">
        <v>2</v>
      </c>
      <c r="K30" s="2"/>
      <c r="L30" s="152" t="s">
        <v>36</v>
      </c>
      <c r="M30" s="153"/>
      <c r="N30" s="10">
        <f>C4*H4*J4*0.0001+C4*H5*J5*0.0001</f>
        <v>810</v>
      </c>
      <c r="O30" s="3" t="s">
        <v>2</v>
      </c>
      <c r="P30" s="2"/>
      <c r="Q30" s="36"/>
      <c r="R30" s="10"/>
      <c r="S30" s="3"/>
    </row>
    <row r="31" ht="3.75" customHeight="1"/>
    <row r="32" spans="2:19" ht="16.5" customHeight="1">
      <c r="B32" s="49" t="s">
        <v>41</v>
      </c>
      <c r="C32" s="50" t="s">
        <v>42</v>
      </c>
      <c r="D32" s="51">
        <f>ROUND(D30*D28*100,0)</f>
        <v>147456</v>
      </c>
      <c r="E32" s="52" t="s">
        <v>9</v>
      </c>
      <c r="F32" s="2"/>
      <c r="G32" s="49" t="s">
        <v>8</v>
      </c>
      <c r="H32" s="50" t="s">
        <v>68</v>
      </c>
      <c r="I32" s="77">
        <v>0</v>
      </c>
      <c r="J32" s="52" t="s">
        <v>9</v>
      </c>
      <c r="K32" s="2"/>
      <c r="L32" s="49" t="s">
        <v>11</v>
      </c>
      <c r="M32" s="50" t="s">
        <v>68</v>
      </c>
      <c r="N32" s="51">
        <f>SUM(N33:N34)</f>
        <v>42040</v>
      </c>
      <c r="O32" s="52" t="s">
        <v>9</v>
      </c>
      <c r="P32" s="2"/>
      <c r="Q32" s="49" t="s">
        <v>14</v>
      </c>
      <c r="R32" s="61">
        <f>D32+I32+N32</f>
        <v>189496</v>
      </c>
      <c r="S32" s="52" t="s">
        <v>9</v>
      </c>
    </row>
    <row r="33" spans="2:19" ht="16.5" customHeight="1">
      <c r="B33" s="60" t="s">
        <v>3</v>
      </c>
      <c r="C33" s="53" t="s">
        <v>43</v>
      </c>
      <c r="D33" s="54">
        <f>ROUNDUP(D32*0.5,0)</f>
        <v>73728</v>
      </c>
      <c r="E33" s="55" t="s">
        <v>9</v>
      </c>
      <c r="F33" s="2"/>
      <c r="G33" s="60" t="s">
        <v>5</v>
      </c>
      <c r="H33" s="53" t="s">
        <v>69</v>
      </c>
      <c r="I33" s="78">
        <f>I32*0.25</f>
        <v>0</v>
      </c>
      <c r="J33" s="55" t="s">
        <v>9</v>
      </c>
      <c r="K33" s="2"/>
      <c r="L33" s="60" t="s">
        <v>12</v>
      </c>
      <c r="M33" s="53" t="s">
        <v>71</v>
      </c>
      <c r="N33" s="54">
        <f>N28+N29+N30*22</f>
        <v>21020</v>
      </c>
      <c r="O33" s="55" t="s">
        <v>9</v>
      </c>
      <c r="P33" s="2"/>
      <c r="Q33" s="60" t="s">
        <v>20</v>
      </c>
      <c r="R33" s="62">
        <f>D33+I33+N33</f>
        <v>94748</v>
      </c>
      <c r="S33" s="55" t="s">
        <v>9</v>
      </c>
    </row>
    <row r="34" spans="2:19" ht="16.5" customHeight="1">
      <c r="B34" s="56" t="s">
        <v>4</v>
      </c>
      <c r="C34" s="57" t="s">
        <v>43</v>
      </c>
      <c r="D34" s="58">
        <f>D32-D33</f>
        <v>73728</v>
      </c>
      <c r="E34" s="59" t="s">
        <v>9</v>
      </c>
      <c r="F34" s="2"/>
      <c r="G34" s="56" t="s">
        <v>6</v>
      </c>
      <c r="H34" s="57" t="s">
        <v>70</v>
      </c>
      <c r="I34" s="79">
        <f>I32-I33</f>
        <v>0</v>
      </c>
      <c r="J34" s="59" t="s">
        <v>9</v>
      </c>
      <c r="K34" s="2"/>
      <c r="L34" s="56" t="s">
        <v>13</v>
      </c>
      <c r="M34" s="57" t="s">
        <v>71</v>
      </c>
      <c r="N34" s="58">
        <f>N33</f>
        <v>21020</v>
      </c>
      <c r="O34" s="59" t="s">
        <v>9</v>
      </c>
      <c r="P34" s="2"/>
      <c r="Q34" s="56" t="s">
        <v>21</v>
      </c>
      <c r="R34" s="96">
        <f>D34+I34+N34</f>
        <v>94748</v>
      </c>
      <c r="S34" s="59" t="s">
        <v>9</v>
      </c>
    </row>
    <row r="35" spans="2:19" ht="17.25" customHeight="1">
      <c r="B35" s="67"/>
      <c r="C35" s="8"/>
      <c r="D35" s="29"/>
      <c r="E35" s="4"/>
      <c r="F35" s="2"/>
      <c r="G35" s="4"/>
      <c r="H35" s="8"/>
      <c r="I35" s="29"/>
      <c r="J35" s="4"/>
      <c r="K35" s="2"/>
      <c r="L35" s="4"/>
      <c r="M35" s="8"/>
      <c r="N35" s="9"/>
      <c r="O35" s="4"/>
      <c r="P35" s="2"/>
      <c r="Q35" s="4"/>
      <c r="R35" s="9"/>
      <c r="S35" s="4"/>
    </row>
    <row r="36" spans="2:19" ht="23.25" customHeight="1">
      <c r="B36" s="63" t="s">
        <v>75</v>
      </c>
      <c r="C36" s="8"/>
      <c r="D36" s="29"/>
      <c r="E36" s="4"/>
      <c r="F36" s="2"/>
      <c r="G36" s="4"/>
      <c r="H36" s="8"/>
      <c r="I36" s="29"/>
      <c r="J36" s="4"/>
      <c r="K36" s="2"/>
      <c r="L36" s="4"/>
      <c r="M36" s="8"/>
      <c r="N36" s="9"/>
      <c r="O36" s="4"/>
      <c r="P36" s="2"/>
      <c r="Q36" s="4"/>
      <c r="R36" s="9"/>
      <c r="S36" s="4"/>
    </row>
    <row r="37" spans="2:19" ht="23.25" customHeight="1">
      <c r="B37" s="4"/>
      <c r="C37" s="8"/>
      <c r="D37" s="29"/>
      <c r="E37" s="4"/>
      <c r="F37" s="2"/>
      <c r="G37" s="4"/>
      <c r="H37" s="8"/>
      <c r="I37" s="29"/>
      <c r="J37" s="4"/>
      <c r="K37" s="2"/>
      <c r="L37" s="4"/>
      <c r="M37" s="8"/>
      <c r="N37" s="9"/>
      <c r="O37" s="4"/>
      <c r="P37" s="2"/>
      <c r="Q37" s="4"/>
      <c r="R37" s="9"/>
      <c r="S37" s="4"/>
    </row>
    <row r="38" spans="2:19" ht="23.25" customHeight="1">
      <c r="B38" s="4"/>
      <c r="C38" s="8"/>
      <c r="D38" s="29"/>
      <c r="E38" s="4"/>
      <c r="F38" s="2"/>
      <c r="G38" s="4"/>
      <c r="H38" s="8"/>
      <c r="I38" s="29"/>
      <c r="J38" s="4"/>
      <c r="K38" s="2"/>
      <c r="L38" s="4"/>
      <c r="M38" s="8"/>
      <c r="N38" s="9"/>
      <c r="O38" s="4"/>
      <c r="P38" s="2"/>
      <c r="Q38" s="4"/>
      <c r="R38" s="9"/>
      <c r="S38" s="4"/>
    </row>
    <row r="39" spans="2:19" ht="23.25" customHeight="1">
      <c r="B39" s="4"/>
      <c r="C39" s="8"/>
      <c r="D39" s="29"/>
      <c r="E39" s="4"/>
      <c r="F39" s="2"/>
      <c r="G39" s="4"/>
      <c r="H39" s="8"/>
      <c r="I39" s="29"/>
      <c r="J39" s="4"/>
      <c r="K39" s="2"/>
      <c r="L39" s="4"/>
      <c r="M39" s="8"/>
      <c r="N39" s="9"/>
      <c r="O39" s="4"/>
      <c r="P39" s="2"/>
      <c r="Q39" s="4"/>
      <c r="R39" s="9"/>
      <c r="S39" s="4"/>
    </row>
    <row r="40" spans="2:19" ht="23.25" customHeight="1">
      <c r="B40" s="4"/>
      <c r="C40" s="8"/>
      <c r="D40" s="29"/>
      <c r="E40" s="4"/>
      <c r="F40" s="2"/>
      <c r="G40" s="4"/>
      <c r="H40" s="8"/>
      <c r="I40" s="29"/>
      <c r="J40" s="4"/>
      <c r="K40" s="2"/>
      <c r="L40" s="4"/>
      <c r="M40" s="8"/>
      <c r="N40" s="9"/>
      <c r="O40" s="4"/>
      <c r="P40" s="2"/>
      <c r="Q40" s="4"/>
      <c r="R40" s="9"/>
      <c r="S40" s="4"/>
    </row>
    <row r="41" spans="2:19" ht="33" customHeight="1">
      <c r="B41" s="4"/>
      <c r="C41" s="8"/>
      <c r="D41" s="29"/>
      <c r="E41" s="4"/>
      <c r="F41" s="2"/>
      <c r="G41" s="4"/>
      <c r="H41" s="8"/>
      <c r="I41" s="29"/>
      <c r="J41" s="4"/>
      <c r="K41" s="2"/>
      <c r="L41" s="4"/>
      <c r="M41" s="8"/>
      <c r="N41" s="9"/>
      <c r="O41" s="4"/>
      <c r="P41" s="2"/>
      <c r="Q41" s="4"/>
      <c r="R41" s="9"/>
      <c r="S41" s="4"/>
    </row>
    <row r="42" spans="2:19" ht="23.25" customHeight="1">
      <c r="B42" s="14" t="s">
        <v>28</v>
      </c>
      <c r="C42" s="8"/>
      <c r="D42" s="29"/>
      <c r="E42" s="4"/>
      <c r="F42" s="2"/>
      <c r="G42" s="4"/>
      <c r="H42" s="8"/>
      <c r="I42" s="29"/>
      <c r="J42" s="4"/>
      <c r="K42" s="2"/>
      <c r="L42" s="4"/>
      <c r="M42" s="8"/>
      <c r="N42" s="9"/>
      <c r="O42" s="4"/>
      <c r="P42" s="2"/>
      <c r="Q42" s="4"/>
      <c r="R42" s="9"/>
      <c r="S42" s="4"/>
    </row>
    <row r="43" spans="2:19" ht="5.25" customHeight="1" thickBot="1">
      <c r="B43" s="4"/>
      <c r="C43" s="8"/>
      <c r="D43" s="29"/>
      <c r="E43" s="4"/>
      <c r="F43" s="2"/>
      <c r="G43" s="4"/>
      <c r="H43" s="8"/>
      <c r="I43" s="29"/>
      <c r="J43" s="4"/>
      <c r="K43" s="2"/>
      <c r="L43" s="4"/>
      <c r="M43" s="8"/>
      <c r="N43" s="9"/>
      <c r="O43" s="4"/>
      <c r="P43" s="2"/>
      <c r="Q43" s="4"/>
      <c r="R43" s="9"/>
      <c r="S43" s="4"/>
    </row>
    <row r="44" spans="36:47" ht="28.5" customHeight="1" thickBot="1">
      <c r="AJ44" s="27" t="s">
        <v>1</v>
      </c>
      <c r="AK44" s="28">
        <f>C4</f>
        <v>1000</v>
      </c>
      <c r="AL44" s="25">
        <f>AK44*10000</f>
        <v>10000000</v>
      </c>
      <c r="AM44" s="158" t="s">
        <v>46</v>
      </c>
      <c r="AN44" s="159"/>
      <c r="AO44" s="159"/>
      <c r="AP44" s="158" t="s">
        <v>47</v>
      </c>
      <c r="AQ44" s="159"/>
      <c r="AR44" s="159"/>
      <c r="AS44" s="162" t="s">
        <v>48</v>
      </c>
      <c r="AT44" s="160" t="s">
        <v>37</v>
      </c>
      <c r="AU44" s="161"/>
    </row>
    <row r="45" spans="36:47" ht="30" customHeight="1">
      <c r="AJ45" s="26" t="s">
        <v>77</v>
      </c>
      <c r="AK45" s="35" t="s">
        <v>45</v>
      </c>
      <c r="AL45" s="15"/>
      <c r="AM45" s="11" t="s">
        <v>14</v>
      </c>
      <c r="AN45" s="34" t="s">
        <v>38</v>
      </c>
      <c r="AO45" s="34" t="s">
        <v>39</v>
      </c>
      <c r="AP45" s="11" t="s">
        <v>14</v>
      </c>
      <c r="AQ45" s="88" t="s">
        <v>22</v>
      </c>
      <c r="AR45" s="84" t="s">
        <v>23</v>
      </c>
      <c r="AS45" s="162"/>
      <c r="AT45" s="32" t="s">
        <v>49</v>
      </c>
      <c r="AU45" s="12" t="s">
        <v>31</v>
      </c>
    </row>
    <row r="46" spans="36:47" ht="21.75" customHeight="1">
      <c r="AJ46" s="18">
        <v>5</v>
      </c>
      <c r="AK46" s="19">
        <f aca="true" t="shared" si="0" ref="AK46:AK55">$AK$44*(100-AJ46)*0.01</f>
        <v>950</v>
      </c>
      <c r="AL46" s="20">
        <f aca="true" t="shared" si="1" ref="AL46:AL55">AK46*10000</f>
        <v>9500000</v>
      </c>
      <c r="AM46" s="21">
        <f aca="true" t="shared" si="2" ref="AM46:AM55">IF(($AL$44*$H$4/100-AL46)*$J$4/100&gt;0,($AL$44*$H$4/100-AL46)*$J$4/100,0)</f>
        <v>0</v>
      </c>
      <c r="AN46" s="22">
        <f aca="true" t="shared" si="3" ref="AN46:AN55">IF(AM46=0,0,$D$17)</f>
        <v>0</v>
      </c>
      <c r="AO46" s="22">
        <f aca="true" t="shared" si="4" ref="AO46:AO55">AM46-AN46</f>
        <v>0</v>
      </c>
      <c r="AP46" s="92">
        <f aca="true" t="shared" si="5" ref="AP46:AP55">IF($AL$44*$H$4/100&gt;AL46,$AL$44*$H$5/100*$J$5/100,IF(($AL$44*$H$4/100+$AL$44*$H$5/100)&gt;AL46,(($AL$44*$H$4/100+$AL$44*$H$5/100)-AL46)*$J$5/100,0))</f>
        <v>0</v>
      </c>
      <c r="AQ46" s="89">
        <f aca="true" t="shared" si="6" ref="AQ46:AQ55">AP46*0.25</f>
        <v>0</v>
      </c>
      <c r="AR46" s="85">
        <f aca="true" t="shared" si="7" ref="AR46:AR55">AP46*0.75</f>
        <v>0</v>
      </c>
      <c r="AS46" s="93">
        <f aca="true" t="shared" si="8" ref="AS46:AS55">AM46+AP46</f>
        <v>0</v>
      </c>
      <c r="AT46" s="33">
        <f aca="true" t="shared" si="9" ref="AT46:AT55">AL46+AS46</f>
        <v>9500000</v>
      </c>
      <c r="AU46" s="31">
        <f aca="true" t="shared" si="10" ref="AU46:AU55">AT46/$AK$44/100</f>
        <v>95</v>
      </c>
    </row>
    <row r="47" spans="36:47" ht="21.75" customHeight="1">
      <c r="AJ47" s="18">
        <v>10</v>
      </c>
      <c r="AK47" s="19">
        <f t="shared" si="0"/>
        <v>900</v>
      </c>
      <c r="AL47" s="20">
        <f t="shared" si="1"/>
        <v>9000000</v>
      </c>
      <c r="AM47" s="21">
        <f t="shared" si="2"/>
        <v>0</v>
      </c>
      <c r="AN47" s="22">
        <f t="shared" si="3"/>
        <v>0</v>
      </c>
      <c r="AO47" s="22">
        <f t="shared" si="4"/>
        <v>0</v>
      </c>
      <c r="AP47" s="92">
        <f t="shared" si="5"/>
        <v>0</v>
      </c>
      <c r="AQ47" s="89">
        <f t="shared" si="6"/>
        <v>0</v>
      </c>
      <c r="AR47" s="85">
        <f t="shared" si="7"/>
        <v>0</v>
      </c>
      <c r="AS47" s="93">
        <f t="shared" si="8"/>
        <v>0</v>
      </c>
      <c r="AT47" s="33">
        <f t="shared" si="9"/>
        <v>9000000</v>
      </c>
      <c r="AU47" s="31">
        <f t="shared" si="10"/>
        <v>90</v>
      </c>
    </row>
    <row r="48" spans="36:47" ht="21.75" customHeight="1">
      <c r="AJ48" s="18">
        <v>11</v>
      </c>
      <c r="AK48" s="19">
        <f t="shared" si="0"/>
        <v>890</v>
      </c>
      <c r="AL48" s="20">
        <f t="shared" si="1"/>
        <v>8900000</v>
      </c>
      <c r="AM48" s="21">
        <f t="shared" si="2"/>
        <v>0</v>
      </c>
      <c r="AN48" s="22">
        <f t="shared" si="3"/>
        <v>0</v>
      </c>
      <c r="AO48" s="22">
        <f t="shared" si="4"/>
        <v>0</v>
      </c>
      <c r="AP48" s="92">
        <f t="shared" si="5"/>
        <v>90000</v>
      </c>
      <c r="AQ48" s="90">
        <f t="shared" si="6"/>
        <v>22500</v>
      </c>
      <c r="AR48" s="86">
        <f t="shared" si="7"/>
        <v>67500</v>
      </c>
      <c r="AS48" s="93">
        <f t="shared" si="8"/>
        <v>90000</v>
      </c>
      <c r="AT48" s="33">
        <f t="shared" si="9"/>
        <v>8990000</v>
      </c>
      <c r="AU48" s="31">
        <f t="shared" si="10"/>
        <v>89.9</v>
      </c>
    </row>
    <row r="49" spans="36:47" ht="21.75" customHeight="1">
      <c r="AJ49" s="18">
        <v>15</v>
      </c>
      <c r="AK49" s="19">
        <f t="shared" si="0"/>
        <v>850</v>
      </c>
      <c r="AL49" s="20">
        <f t="shared" si="1"/>
        <v>8500000</v>
      </c>
      <c r="AM49" s="21">
        <f t="shared" si="2"/>
        <v>0</v>
      </c>
      <c r="AN49" s="22">
        <f t="shared" si="3"/>
        <v>0</v>
      </c>
      <c r="AO49" s="22">
        <f t="shared" si="4"/>
        <v>0</v>
      </c>
      <c r="AP49" s="92">
        <f t="shared" si="5"/>
        <v>450000</v>
      </c>
      <c r="AQ49" s="90">
        <f t="shared" si="6"/>
        <v>112500</v>
      </c>
      <c r="AR49" s="86">
        <f t="shared" si="7"/>
        <v>337500</v>
      </c>
      <c r="AS49" s="93">
        <f t="shared" si="8"/>
        <v>450000</v>
      </c>
      <c r="AT49" s="33">
        <f t="shared" si="9"/>
        <v>8950000</v>
      </c>
      <c r="AU49" s="31">
        <f t="shared" si="10"/>
        <v>89.5</v>
      </c>
    </row>
    <row r="50" spans="36:47" ht="21.75" customHeight="1" thickBot="1">
      <c r="AJ50" s="109">
        <v>20</v>
      </c>
      <c r="AK50" s="110">
        <f t="shared" si="0"/>
        <v>800</v>
      </c>
      <c r="AL50" s="111">
        <f t="shared" si="1"/>
        <v>8000000</v>
      </c>
      <c r="AM50" s="112">
        <f t="shared" si="2"/>
        <v>0</v>
      </c>
      <c r="AN50" s="113">
        <f t="shared" si="3"/>
        <v>0</v>
      </c>
      <c r="AO50" s="113">
        <f t="shared" si="4"/>
        <v>0</v>
      </c>
      <c r="AP50" s="114">
        <f t="shared" si="5"/>
        <v>900000</v>
      </c>
      <c r="AQ50" s="115">
        <f t="shared" si="6"/>
        <v>225000</v>
      </c>
      <c r="AR50" s="116">
        <f t="shared" si="7"/>
        <v>675000</v>
      </c>
      <c r="AS50" s="117">
        <f t="shared" si="8"/>
        <v>900000</v>
      </c>
      <c r="AT50" s="118">
        <f t="shared" si="9"/>
        <v>8900000</v>
      </c>
      <c r="AU50" s="119">
        <f t="shared" si="10"/>
        <v>89</v>
      </c>
    </row>
    <row r="51" spans="36:47" ht="21.75" customHeight="1" thickBot="1">
      <c r="AJ51" s="131">
        <v>30</v>
      </c>
      <c r="AK51" s="132">
        <f t="shared" si="0"/>
        <v>700</v>
      </c>
      <c r="AL51" s="133">
        <f t="shared" si="1"/>
        <v>7000000</v>
      </c>
      <c r="AM51" s="134">
        <f t="shared" si="2"/>
        <v>900000</v>
      </c>
      <c r="AN51" s="135">
        <f t="shared" si="3"/>
        <v>77724</v>
      </c>
      <c r="AO51" s="135">
        <f t="shared" si="4"/>
        <v>822276</v>
      </c>
      <c r="AP51" s="136">
        <f t="shared" si="5"/>
        <v>900000</v>
      </c>
      <c r="AQ51" s="137">
        <f t="shared" si="6"/>
        <v>225000</v>
      </c>
      <c r="AR51" s="138">
        <f t="shared" si="7"/>
        <v>675000</v>
      </c>
      <c r="AS51" s="139">
        <f t="shared" si="8"/>
        <v>1800000</v>
      </c>
      <c r="AT51" s="140">
        <f t="shared" si="9"/>
        <v>8800000</v>
      </c>
      <c r="AU51" s="141">
        <f t="shared" si="10"/>
        <v>88</v>
      </c>
    </row>
    <row r="52" spans="36:47" ht="21.75" customHeight="1">
      <c r="AJ52" s="120">
        <v>40</v>
      </c>
      <c r="AK52" s="121">
        <f t="shared" si="0"/>
        <v>600</v>
      </c>
      <c r="AL52" s="122">
        <f t="shared" si="1"/>
        <v>6000000</v>
      </c>
      <c r="AM52" s="123">
        <f t="shared" si="2"/>
        <v>1800000</v>
      </c>
      <c r="AN52" s="124">
        <f t="shared" si="3"/>
        <v>77724</v>
      </c>
      <c r="AO52" s="124">
        <f t="shared" si="4"/>
        <v>1722276</v>
      </c>
      <c r="AP52" s="125">
        <f t="shared" si="5"/>
        <v>900000</v>
      </c>
      <c r="AQ52" s="126">
        <f t="shared" si="6"/>
        <v>225000</v>
      </c>
      <c r="AR52" s="127">
        <f t="shared" si="7"/>
        <v>675000</v>
      </c>
      <c r="AS52" s="128">
        <f t="shared" si="8"/>
        <v>2700000</v>
      </c>
      <c r="AT52" s="129">
        <f t="shared" si="9"/>
        <v>8700000</v>
      </c>
      <c r="AU52" s="130">
        <f t="shared" si="10"/>
        <v>87</v>
      </c>
    </row>
    <row r="53" spans="36:47" ht="21.75" customHeight="1">
      <c r="AJ53" s="18">
        <v>50</v>
      </c>
      <c r="AK53" s="19">
        <f t="shared" si="0"/>
        <v>500</v>
      </c>
      <c r="AL53" s="20">
        <f t="shared" si="1"/>
        <v>5000000</v>
      </c>
      <c r="AM53" s="21">
        <f t="shared" si="2"/>
        <v>2700000</v>
      </c>
      <c r="AN53" s="22">
        <f t="shared" si="3"/>
        <v>77724</v>
      </c>
      <c r="AO53" s="22">
        <f t="shared" si="4"/>
        <v>2622276</v>
      </c>
      <c r="AP53" s="92">
        <f t="shared" si="5"/>
        <v>900000</v>
      </c>
      <c r="AQ53" s="90">
        <f t="shared" si="6"/>
        <v>225000</v>
      </c>
      <c r="AR53" s="86">
        <f t="shared" si="7"/>
        <v>675000</v>
      </c>
      <c r="AS53" s="93">
        <f t="shared" si="8"/>
        <v>3600000</v>
      </c>
      <c r="AT53" s="33">
        <f t="shared" si="9"/>
        <v>8600000</v>
      </c>
      <c r="AU53" s="31">
        <f t="shared" si="10"/>
        <v>86</v>
      </c>
    </row>
    <row r="54" spans="36:47" ht="21.75" customHeight="1">
      <c r="AJ54" s="18">
        <v>70</v>
      </c>
      <c r="AK54" s="19">
        <f t="shared" si="0"/>
        <v>300</v>
      </c>
      <c r="AL54" s="20">
        <f t="shared" si="1"/>
        <v>3000000</v>
      </c>
      <c r="AM54" s="21">
        <f t="shared" si="2"/>
        <v>4500000</v>
      </c>
      <c r="AN54" s="22">
        <f t="shared" si="3"/>
        <v>77724</v>
      </c>
      <c r="AO54" s="22">
        <f t="shared" si="4"/>
        <v>4422276</v>
      </c>
      <c r="AP54" s="92">
        <f t="shared" si="5"/>
        <v>900000</v>
      </c>
      <c r="AQ54" s="90">
        <f t="shared" si="6"/>
        <v>225000</v>
      </c>
      <c r="AR54" s="86">
        <f t="shared" si="7"/>
        <v>675000</v>
      </c>
      <c r="AS54" s="93">
        <f t="shared" si="8"/>
        <v>5400000</v>
      </c>
      <c r="AT54" s="33">
        <f t="shared" si="9"/>
        <v>8400000</v>
      </c>
      <c r="AU54" s="31">
        <f t="shared" si="10"/>
        <v>84</v>
      </c>
    </row>
    <row r="55" spans="36:47" ht="21.75" customHeight="1">
      <c r="AJ55" s="18">
        <v>100</v>
      </c>
      <c r="AK55" s="19">
        <f t="shared" si="0"/>
        <v>0</v>
      </c>
      <c r="AL55" s="20">
        <f t="shared" si="1"/>
        <v>0</v>
      </c>
      <c r="AM55" s="21">
        <f t="shared" si="2"/>
        <v>7200000</v>
      </c>
      <c r="AN55" s="22">
        <f t="shared" si="3"/>
        <v>77724</v>
      </c>
      <c r="AO55" s="22">
        <f t="shared" si="4"/>
        <v>7122276</v>
      </c>
      <c r="AP55" s="92">
        <f t="shared" si="5"/>
        <v>900000</v>
      </c>
      <c r="AQ55" s="90">
        <f t="shared" si="6"/>
        <v>225000</v>
      </c>
      <c r="AR55" s="86">
        <f t="shared" si="7"/>
        <v>675000</v>
      </c>
      <c r="AS55" s="93">
        <f t="shared" si="8"/>
        <v>8100000</v>
      </c>
      <c r="AT55" s="33">
        <f t="shared" si="9"/>
        <v>8100000</v>
      </c>
      <c r="AU55" s="31">
        <f t="shared" si="10"/>
        <v>81</v>
      </c>
    </row>
    <row r="56" spans="36:47" ht="6" customHeight="1"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2:47" ht="30.75" customHeight="1">
      <c r="B57" s="14" t="s">
        <v>76</v>
      </c>
      <c r="AJ57" s="145" t="s">
        <v>27</v>
      </c>
      <c r="AK57" s="146"/>
      <c r="AL57" s="23"/>
      <c r="AM57" s="142" t="s">
        <v>25</v>
      </c>
      <c r="AN57" s="143"/>
      <c r="AO57" s="144"/>
      <c r="AP57" s="24"/>
      <c r="AQ57" s="91" t="s">
        <v>24</v>
      </c>
      <c r="AR57" s="87" t="s">
        <v>25</v>
      </c>
      <c r="AS57" s="13"/>
      <c r="AT57" s="13"/>
      <c r="AU57" s="13"/>
    </row>
    <row r="59" ht="33" customHeight="1"/>
    <row r="60" spans="49:57" ht="17.25" customHeight="1">
      <c r="AW60" s="68" t="s">
        <v>51</v>
      </c>
      <c r="AX60" s="68" t="s">
        <v>52</v>
      </c>
      <c r="AY60" s="68" t="s">
        <v>53</v>
      </c>
      <c r="AZ60" s="68" t="s">
        <v>54</v>
      </c>
      <c r="BA60" s="68" t="s">
        <v>55</v>
      </c>
      <c r="BB60" s="68" t="s">
        <v>56</v>
      </c>
      <c r="BC60" s="68" t="s">
        <v>57</v>
      </c>
      <c r="BD60" s="68" t="s">
        <v>58</v>
      </c>
      <c r="BE60" s="68" t="s">
        <v>59</v>
      </c>
    </row>
    <row r="61" spans="48:58" ht="17.25" customHeight="1">
      <c r="AV61" s="69">
        <v>1</v>
      </c>
      <c r="AW61" s="64">
        <f>$D$17+$I$17-INT(($D$17+$I$17)/AV61)*(AV61-1)+$N$17</f>
        <v>325044</v>
      </c>
      <c r="AX61" s="98"/>
      <c r="AY61" s="98"/>
      <c r="AZ61" s="98"/>
      <c r="BA61" s="98"/>
      <c r="BB61" s="98"/>
      <c r="BC61" s="98"/>
      <c r="BD61" s="98"/>
      <c r="BE61" s="98"/>
      <c r="BF61" s="41"/>
    </row>
    <row r="62" spans="48:58" ht="17.25" customHeight="1">
      <c r="AV62" s="69">
        <v>2</v>
      </c>
      <c r="AW62" s="64">
        <f>$D$17+$I$17-INT(($D$17+$I$17)/AV62)*(AV62-1)+$N$17</f>
        <v>173682</v>
      </c>
      <c r="AX62" s="42"/>
      <c r="AY62" s="42"/>
      <c r="AZ62" s="42"/>
      <c r="BA62" s="42"/>
      <c r="BB62" s="42"/>
      <c r="BC62" s="42"/>
      <c r="BD62" s="42"/>
      <c r="BE62" s="64">
        <f>IF(AV62=1,0,INT(($D$17+$I$17)/AV62))</f>
        <v>151362</v>
      </c>
      <c r="BF62" s="41"/>
    </row>
    <row r="63" spans="48:58" ht="17.25" customHeight="1">
      <c r="AV63" s="69">
        <v>3</v>
      </c>
      <c r="AW63" s="64">
        <f>$D$17+$I$17-INT(($D$17+$I$17)/AV63)*(AV63-1)+$N$17</f>
        <v>123228</v>
      </c>
      <c r="AX63" s="98"/>
      <c r="AY63" s="98"/>
      <c r="AZ63" s="98"/>
      <c r="BA63" s="64">
        <f>BE63</f>
        <v>100908</v>
      </c>
      <c r="BB63" s="98"/>
      <c r="BC63" s="98"/>
      <c r="BD63" s="98"/>
      <c r="BE63" s="64">
        <f>IF(AV63=1,0,INT(($D$17+$I$17)/AV63))</f>
        <v>100908</v>
      </c>
      <c r="BF63" s="41"/>
    </row>
    <row r="64" spans="48:58" ht="17.25" customHeight="1">
      <c r="AV64" s="69">
        <v>5</v>
      </c>
      <c r="AW64" s="64">
        <f>$D$17+$I$17-INT(($D$17+$I$17)/AV64)*(AV64-1)+$N$17</f>
        <v>82868</v>
      </c>
      <c r="AX64" s="42"/>
      <c r="AY64" s="64">
        <f>$BE$64</f>
        <v>60544</v>
      </c>
      <c r="AZ64" s="42"/>
      <c r="BA64" s="64">
        <f>$BE$64</f>
        <v>60544</v>
      </c>
      <c r="BB64" s="42"/>
      <c r="BC64" s="64">
        <f>$BE$64</f>
        <v>60544</v>
      </c>
      <c r="BD64" s="42"/>
      <c r="BE64" s="64">
        <f>IF(AV64=1,0,INT(($D$17+$I$17)/AV64))</f>
        <v>60544</v>
      </c>
      <c r="BF64" s="41"/>
    </row>
    <row r="65" spans="48:58" ht="17.25" customHeight="1">
      <c r="AV65" s="69">
        <v>9</v>
      </c>
      <c r="AW65" s="64">
        <f>$D$17+$I$17-INT(($D$17+$I$17)/AV65)*(AV65-1)+$N$17</f>
        <v>55956</v>
      </c>
      <c r="AX65" s="64">
        <f aca="true" t="shared" si="11" ref="AX65:BD65">$BE$65</f>
        <v>33636</v>
      </c>
      <c r="AY65" s="64">
        <f t="shared" si="11"/>
        <v>33636</v>
      </c>
      <c r="AZ65" s="64">
        <f t="shared" si="11"/>
        <v>33636</v>
      </c>
      <c r="BA65" s="64">
        <f t="shared" si="11"/>
        <v>33636</v>
      </c>
      <c r="BB65" s="64">
        <f t="shared" si="11"/>
        <v>33636</v>
      </c>
      <c r="BC65" s="64">
        <f t="shared" si="11"/>
        <v>33636</v>
      </c>
      <c r="BD65" s="64">
        <f t="shared" si="11"/>
        <v>33636</v>
      </c>
      <c r="BE65" s="64">
        <f>IF(AV65=1,0,INT(($D$17+$I$17)/AV65))</f>
        <v>33636</v>
      </c>
      <c r="BF65" s="41"/>
    </row>
    <row r="68" spans="49:58" ht="15.75">
      <c r="AW68" s="82" t="s">
        <v>51</v>
      </c>
      <c r="AX68" s="82" t="s">
        <v>52</v>
      </c>
      <c r="AY68" s="82" t="s">
        <v>53</v>
      </c>
      <c r="AZ68" s="82" t="s">
        <v>54</v>
      </c>
      <c r="BA68" s="82" t="s">
        <v>55</v>
      </c>
      <c r="BB68" s="82" t="s">
        <v>56</v>
      </c>
      <c r="BC68" s="82" t="s">
        <v>57</v>
      </c>
      <c r="BD68" s="82" t="s">
        <v>58</v>
      </c>
      <c r="BE68" s="82" t="s">
        <v>59</v>
      </c>
      <c r="BF68" s="41"/>
    </row>
    <row r="69" spans="48:58" ht="15.75">
      <c r="AV69" s="81">
        <v>1</v>
      </c>
      <c r="AW69" s="64">
        <f>$D$33+$I$33-(INT(($D$33+$I$33)/AV69)*(AV69-1))+$N$33</f>
        <v>94748</v>
      </c>
      <c r="AX69" s="98"/>
      <c r="AY69" s="98"/>
      <c r="AZ69" s="98"/>
      <c r="BA69" s="98"/>
      <c r="BB69" s="98"/>
      <c r="BC69" s="98"/>
      <c r="BD69" s="98"/>
      <c r="BE69" s="98"/>
      <c r="BF69" s="41"/>
    </row>
    <row r="70" spans="48:58" ht="15.75">
      <c r="AV70" s="81">
        <v>2</v>
      </c>
      <c r="AW70" s="64">
        <f>$D$33+$I$33-(INT(($D$33+$I$33)/AV70)*(AV70-1))+$N$33</f>
        <v>57884</v>
      </c>
      <c r="AX70" s="42"/>
      <c r="AY70" s="42"/>
      <c r="AZ70" s="42"/>
      <c r="BA70" s="42"/>
      <c r="BB70" s="42"/>
      <c r="BC70" s="42"/>
      <c r="BD70" s="42"/>
      <c r="BE70" s="64">
        <f>IF(AV70=1,0,INT(($D$33+$I$33)/AV70))</f>
        <v>36864</v>
      </c>
      <c r="BF70" s="41"/>
    </row>
    <row r="71" spans="48:58" ht="15.75">
      <c r="AV71" s="81">
        <v>3</v>
      </c>
      <c r="AW71" s="64">
        <f>$D$33+$I$33-(INT(($D$33+$I$33)/AV71)*(AV71-1))+$N$33</f>
        <v>45596</v>
      </c>
      <c r="AX71" s="98"/>
      <c r="AY71" s="98"/>
      <c r="AZ71" s="98"/>
      <c r="BA71" s="64">
        <f>BE71</f>
        <v>24576</v>
      </c>
      <c r="BB71" s="98"/>
      <c r="BC71" s="98"/>
      <c r="BD71" s="98"/>
      <c r="BE71" s="64">
        <f>IF(AV71=1,0,INT(($D$33+$I$33)/AV71))</f>
        <v>24576</v>
      </c>
      <c r="BF71" s="41"/>
    </row>
    <row r="72" spans="48:58" ht="15.75">
      <c r="AV72" s="81">
        <v>5</v>
      </c>
      <c r="AW72" s="64">
        <f>$D$33+$I$33-(INT(($D$33+$I$33)/AV72)*(AV72-1))+$N$33</f>
        <v>35768</v>
      </c>
      <c r="AX72" s="42"/>
      <c r="AY72" s="64">
        <f>$BE$72</f>
        <v>14745</v>
      </c>
      <c r="AZ72" s="42"/>
      <c r="BA72" s="64">
        <f>$BE$72</f>
        <v>14745</v>
      </c>
      <c r="BB72" s="42"/>
      <c r="BC72" s="64">
        <f>$BE$72</f>
        <v>14745</v>
      </c>
      <c r="BD72" s="42"/>
      <c r="BE72" s="64">
        <f>IF(AV72=1,0,INT(($D$33+$I$33)/AV72))</f>
        <v>14745</v>
      </c>
      <c r="BF72" s="41"/>
    </row>
    <row r="73" spans="48:58" ht="15.75">
      <c r="AV73" s="81">
        <v>9</v>
      </c>
      <c r="AW73" s="64">
        <f>$D$33+$I$33-(INT(($D$33+$I$33)/AV73)*(AV73-1))+$N$33</f>
        <v>29212</v>
      </c>
      <c r="AX73" s="64">
        <f aca="true" t="shared" si="12" ref="AX73:BD73">$BE$73</f>
        <v>8192</v>
      </c>
      <c r="AY73" s="64">
        <f t="shared" si="12"/>
        <v>8192</v>
      </c>
      <c r="AZ73" s="64">
        <f t="shared" si="12"/>
        <v>8192</v>
      </c>
      <c r="BA73" s="64">
        <f t="shared" si="12"/>
        <v>8192</v>
      </c>
      <c r="BB73" s="64">
        <f t="shared" si="12"/>
        <v>8192</v>
      </c>
      <c r="BC73" s="64">
        <f t="shared" si="12"/>
        <v>8192</v>
      </c>
      <c r="BD73" s="64">
        <f t="shared" si="12"/>
        <v>8192</v>
      </c>
      <c r="BE73" s="64">
        <f>IF(AV73=1,0,INT(($D$33+$I$33)/AV73))</f>
        <v>8192</v>
      </c>
      <c r="BF73" s="41"/>
    </row>
  </sheetData>
  <sheetProtection/>
  <protectedRanges>
    <protectedRange sqref="AL46:AL55" name="範囲3"/>
    <protectedRange sqref="H4:H7 J4:J7" name="範囲2"/>
    <protectedRange sqref="AL44" name="範囲1"/>
  </protectedRanges>
  <mergeCells count="28">
    <mergeCell ref="C4:D4"/>
    <mergeCell ref="L12:M12"/>
    <mergeCell ref="B11:E11"/>
    <mergeCell ref="G11:J11"/>
    <mergeCell ref="M10:O10"/>
    <mergeCell ref="B30:C30"/>
    <mergeCell ref="G30:H30"/>
    <mergeCell ref="L30:M30"/>
    <mergeCell ref="AM44:AO44"/>
    <mergeCell ref="AP44:AR44"/>
    <mergeCell ref="AT44:AU44"/>
    <mergeCell ref="AS44:AS45"/>
    <mergeCell ref="B1:H2"/>
    <mergeCell ref="L11:O11"/>
    <mergeCell ref="H10:J10"/>
    <mergeCell ref="C10:E10"/>
    <mergeCell ref="Q1:S1"/>
    <mergeCell ref="L14:M14"/>
    <mergeCell ref="AM57:AO57"/>
    <mergeCell ref="AJ57:AK57"/>
    <mergeCell ref="B28:C28"/>
    <mergeCell ref="L28:M28"/>
    <mergeCell ref="L29:M29"/>
    <mergeCell ref="L2:P2"/>
    <mergeCell ref="B14:C14"/>
    <mergeCell ref="B12:C12"/>
    <mergeCell ref="G14:H14"/>
    <mergeCell ref="L13:M13"/>
  </mergeCells>
  <dataValidations count="3">
    <dataValidation type="list" allowBlank="1" showInputMessage="1" showErrorMessage="1" sqref="J4:J7">
      <formula1>"90,80,70,60,50"</formula1>
    </dataValidation>
    <dataValidation type="list" allowBlank="1" showInputMessage="1" showErrorMessage="1" sqref="H5:H7">
      <formula1>"10,5,0"</formula1>
    </dataValidation>
    <dataValidation type="list" allowBlank="1" showInputMessage="1" showErrorMessage="1" sqref="H4">
      <formula1>"80,78,75,70,60,50"</formula1>
    </dataValidation>
  </dataValidations>
  <printOptions horizontalCentered="1"/>
  <pageMargins left="0.1968503937007874" right="0.3937007874015748" top="0.984251968503937" bottom="0" header="0.5118110236220472" footer="0.5118110236220472"/>
  <pageSetup fitToHeight="1" fitToWidth="1" horizontalDpi="300" verticalDpi="300" orientation="portrait" paperSize="8" scale="86" r:id="rId4"/>
  <drawing r:id="rId3"/>
  <legacyDrawing r:id="rId2"/>
  <oleObjects>
    <oleObject progId="Word.Document.12" shapeId="9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M9"/>
  <sheetViews>
    <sheetView zoomScalePageLayoutView="0" workbookViewId="0" topLeftCell="A1">
      <selection activeCell="L9" sqref="L9:U16"/>
    </sheetView>
  </sheetViews>
  <sheetFormatPr defaultColWidth="9.00390625" defaultRowHeight="13.5"/>
  <cols>
    <col min="2" max="2" width="10.75390625" style="0" bestFit="1" customWidth="1"/>
    <col min="6" max="6" width="10.75390625" style="0" bestFit="1" customWidth="1"/>
    <col min="10" max="10" width="9.875" style="0" bestFit="1" customWidth="1"/>
    <col min="21" max="21" width="9.875" style="0" bestFit="1" customWidth="1"/>
  </cols>
  <sheetData>
    <row r="3" spans="3:13" ht="15.75">
      <c r="C3" s="38"/>
      <c r="D3" s="38"/>
      <c r="I3" s="38"/>
      <c r="J3" s="38"/>
      <c r="K3" s="38"/>
      <c r="L3" s="38"/>
      <c r="M3" s="38"/>
    </row>
    <row r="4" spans="2:13" ht="15.75">
      <c r="B4" s="39"/>
      <c r="C4" s="39"/>
      <c r="D4" s="38"/>
      <c r="I4" s="38"/>
      <c r="J4" s="38"/>
      <c r="K4" s="38"/>
      <c r="L4" s="38"/>
      <c r="M4" s="38"/>
    </row>
    <row r="5" spans="2:13" ht="15.75">
      <c r="B5" s="39"/>
      <c r="C5" s="38"/>
      <c r="D5" s="38"/>
      <c r="I5" s="38"/>
      <c r="J5" s="38"/>
      <c r="K5" s="38"/>
      <c r="L5" s="38"/>
      <c r="M5" s="38"/>
    </row>
    <row r="6" spans="2:13" ht="15.75">
      <c r="B6" s="39"/>
      <c r="C6" s="38"/>
      <c r="D6" s="38"/>
      <c r="I6" s="38"/>
      <c r="J6" s="38"/>
      <c r="K6" s="38"/>
      <c r="L6" s="38"/>
      <c r="M6" s="38"/>
    </row>
    <row r="7" spans="2:13" ht="15.75">
      <c r="B7" s="39"/>
      <c r="C7" s="38"/>
      <c r="D7" s="38"/>
      <c r="I7" s="38"/>
      <c r="J7" s="38"/>
      <c r="K7" s="38"/>
      <c r="L7" s="38"/>
      <c r="M7" s="38"/>
    </row>
    <row r="8" spans="2:13" ht="15.75">
      <c r="B8" s="39"/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2:11" ht="15.75">
      <c r="B9" s="40"/>
      <c r="C9" s="39"/>
      <c r="D9" s="38"/>
      <c r="E9" s="38"/>
      <c r="F9" s="38"/>
      <c r="G9" s="38"/>
      <c r="H9" s="38"/>
      <c r="I9" s="38"/>
      <c r="J9" s="38"/>
      <c r="K9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037-saito</cp:lastModifiedBy>
  <cp:lastPrinted>2018-07-27T00:26:22Z</cp:lastPrinted>
  <dcterms:created xsi:type="dcterms:W3CDTF">1997-01-08T22:48:59Z</dcterms:created>
  <dcterms:modified xsi:type="dcterms:W3CDTF">2018-08-03T08:27:37Z</dcterms:modified>
  <cp:category/>
  <cp:version/>
  <cp:contentType/>
  <cp:contentStatus/>
</cp:coreProperties>
</file>